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tamotors-my.sharepoint.com/personal/akb533813_tatamotors_com/Documents/Desktop/"/>
    </mc:Choice>
  </mc:AlternateContent>
  <xr:revisionPtr revIDLastSave="0" documentId="8_{D17BC8CC-A3D7-42DD-8863-DDE66944F817}" xr6:coauthVersionLast="47" xr6:coauthVersionMax="47" xr10:uidLastSave="{00000000-0000-0000-0000-000000000000}"/>
  <bookViews>
    <workbookView xWindow="-110" yWindow="-110" windowWidth="19420" windowHeight="10300" xr2:uid="{9DE249CB-C771-42A9-B938-BE3438D83FB2}"/>
  </bookViews>
  <sheets>
    <sheet name="Index" sheetId="1" r:id="rId1"/>
    <sheet name="JLR Qtr Wholesale Carline - HoB" sheetId="2" r:id="rId2"/>
    <sheet name="JLR Qtr Retails Carline - HoB" sheetId="3" r:id="rId3"/>
    <sheet name="JLR Qtr Wholesales Region - HoB" sheetId="4" r:id="rId4"/>
    <sheet name="JLR Qtr Retails Region - HoB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ll">'[1]C100821 (1)'!#REF!</definedName>
    <definedName name="_creditors">'[1]C100821 (1)'!#REF!</definedName>
    <definedName name="_currencylist">#REF!</definedName>
    <definedName name="_debtors">'[1]C100821 (1)'!#REF!</definedName>
    <definedName name="_dfi_interco">'[1]C100821 (1)'!#REF!</definedName>
    <definedName name="_DFIs">'[1]C100821 (1)'!#REF!</definedName>
    <definedName name="_xlnm._FilterDatabase" hidden="1">'[1]Hyperion AO_PForecast'!#REF!</definedName>
    <definedName name="Actual_vs_Forecast">'[1]C100821 (1)'!#REF!</definedName>
    <definedName name="Actual_YTD">'[1]C100821 (1)'!#REF!</definedName>
    <definedName name="Actuals_vs_AOP">'[1]C100821 (1)'!#REF!</definedName>
    <definedName name="actvfcst">'[1]C100821 (1)'!#REF!</definedName>
    <definedName name="actvsaop">'[1]C100821 (1)'!#REF!</definedName>
    <definedName name="actytd">'[1]C100821 (1)'!#REF!</definedName>
    <definedName name="ALL">'[1]C100821 (1)'!#REF!</definedName>
    <definedName name="AOP_YTD">'[1]C100821 (1)'!#REF!</definedName>
    <definedName name="aopytd">'[1]C100821 (1)'!#REF!</definedName>
    <definedName name="BankCapital">'[2]Lookup Tables'!$A$20:$B$22</definedName>
    <definedName name="BW">[3]BW!$A$22:$IV$65536</definedName>
    <definedName name="CAP">'[4]Lookup Tables'!$A$72:$B$78</definedName>
    <definedName name="Creditors">'[1]C100821 (1)'!#REF!</definedName>
    <definedName name="Currency_List">#REF!</definedName>
    <definedName name="Debtors">'[1]C100821 (1)'!#REF!</definedName>
    <definedName name="DebtSwap">'[4]Lookup Tables'!$A$59:$B$61</definedName>
    <definedName name="Descrp1">[4]Workings!$C$11:$C$269</definedName>
    <definedName name="Descrp2">[4]Workings!$D$11:$D$269</definedName>
    <definedName name="Descrp3">[4]Workings!$E$11:$E$269</definedName>
    <definedName name="Descrp5">'[4]Lookup Tables'!$A$84:$B$87</definedName>
    <definedName name="DFI_Interco">'[1]C100821 (1)'!#REF!</definedName>
    <definedName name="DFIs">'[1]C100821 (1)'!#REF!</definedName>
    <definedName name="DrawnUndrawn">'[4]Lookup Tables'!$A$26:$B$28</definedName>
    <definedName name="ExchangeRates">'[4]Lookup Tables'!$A$7:$B$16</definedName>
    <definedName name="filt" hidden="1">'[1]Hyperion AO_PForecast'!#REF!</definedName>
    <definedName name="FixFloat">[4]Workings!$Q$11:$Q$269</definedName>
    <definedName name="Forecast_YTD">'[1]C100821 (1)'!#REF!</definedName>
    <definedName name="FV">'[4]Lookup Tables'!$A$65:$B$68</definedName>
    <definedName name="FX">'[5]FX rates'!$A:$IV</definedName>
    <definedName name="GroupDebtHome">#REF!</definedName>
    <definedName name="GroupDebtTable">#REF!</definedName>
    <definedName name="grwer">[6]Pivot!$A$1:$B$136</definedName>
    <definedName name="HEIRACHY">[7]Heirachy!$A:$IV</definedName>
    <definedName name="historical_data_FY18_9m_col_num">'[8]R&amp;D and Inv'!$K$4</definedName>
    <definedName name="historical_data_table">'[8]Historical Data'!$A:$BA</definedName>
    <definedName name="Interco">'[1]C100821 (1)'!#REF!</definedName>
    <definedName name="JG_RT_YTD">'[9]4a.'!$R$8</definedName>
    <definedName name="KKK" localSheetId="2" hidden="1">Main.SAPF4Help()</definedName>
    <definedName name="KKK" localSheetId="4" hidden="1">Main.SAPF4Help()</definedName>
    <definedName name="KKK" localSheetId="1" hidden="1">Main.SAPF4Help()</definedName>
    <definedName name="KKK" localSheetId="3" hidden="1">Main.SAPF4Help()</definedName>
    <definedName name="KKK" hidden="1">Main.SAPF4Help()</definedName>
    <definedName name="LongShort">'[4]Lookup Tables'!$A$32:$B$34</definedName>
    <definedName name="LR_RT_YTD">'[9]4b.'!$R$8</definedName>
    <definedName name="Non_Other_Operating">'[1]C100821 (1)'!#REF!</definedName>
    <definedName name="Option4">[10]Tables!$M$21:$M$23</definedName>
    <definedName name="Pay">[4]Workings!$Q$11:$Q$269</definedName>
    <definedName name="pbi">[5]Sheet4!$A$4:$C$90</definedName>
    <definedName name="PPPP" localSheetId="2" hidden="1">Main.SAPF4Help()</definedName>
    <definedName name="PPPP" localSheetId="4" hidden="1">Main.SAPF4Help()</definedName>
    <definedName name="PPPP" localSheetId="1" hidden="1">Main.SAPF4Help()</definedName>
    <definedName name="PPPP" localSheetId="3" hidden="1">Main.SAPF4Help()</definedName>
    <definedName name="PPPP" hidden="1">Main.SAPF4Help()</definedName>
    <definedName name="_xlnm.Print_Area" localSheetId="2">'JLR Qtr Retails Carline - HoB'!$A$368:$G$447</definedName>
    <definedName name="_xlnm.Print_Area" localSheetId="4">'JLR Qtr Retails Region - HoB'!$A$288:$G$442</definedName>
    <definedName name="_xlnm.Print_Area" localSheetId="1">'JLR Qtr Wholesale Carline - HoB'!$A$293:$F$441</definedName>
    <definedName name="_xlnm.Print_Area" localSheetId="3">'JLR Qtr Wholesales Region - HoB'!$A$286:$G$441</definedName>
    <definedName name="Print_MPLTD">[4]Workings!$AS$11:$BG$269</definedName>
    <definedName name="Provisions">'[1]C100821 (1)'!#REF!</definedName>
    <definedName name="Rate2">[4]Workings!$T$11:$T$269</definedName>
    <definedName name="Rates">'[4]Lookup Tables'!$A$51:$B$55</definedName>
    <definedName name="Rec">[4]Workings!$R$11:$R$269</definedName>
    <definedName name="SAPFuncF4Help" localSheetId="2" hidden="1">Main.SAPF4Help()</definedName>
    <definedName name="SAPFuncF4Help" localSheetId="4" hidden="1">Main.SAPF4Help()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ips">#REF!</definedName>
    <definedName name="Status">[4]Workings!$N$11:$N$269</definedName>
    <definedName name="Stock">'[1]C100821 (1)'!#REF!</definedName>
    <definedName name="T_LAmylum">'[4]Lookup Tables'!$A$38:$B$40</definedName>
    <definedName name="Total_Excluding_Provisions">'[1]C100821 (1)'!#REF!</definedName>
    <definedName name="Total_Including_Provisions">'[1]C100821 (1)'!#REF!</definedName>
    <definedName name="Type1">[4]Workings!$H$11:$H$269</definedName>
    <definedName name="Type2">[4]Workings!$I$11:$I$269</definedName>
    <definedName name="valuevx">42.314159</definedName>
    <definedName name="VF">'[4]Lookup Tables'!$A$44:$B$47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4" i="5" l="1"/>
  <c r="D604" i="5"/>
  <c r="C604" i="5"/>
  <c r="B604" i="5"/>
  <c r="F603" i="5"/>
  <c r="F602" i="5"/>
  <c r="F601" i="5"/>
  <c r="F600" i="5"/>
  <c r="F599" i="5"/>
  <c r="F598" i="5"/>
  <c r="F604" i="5" s="1"/>
  <c r="F595" i="5"/>
  <c r="E595" i="5"/>
  <c r="D595" i="5"/>
  <c r="C595" i="5"/>
  <c r="B595" i="5"/>
  <c r="F594" i="5"/>
  <c r="F593" i="5"/>
  <c r="F592" i="5"/>
  <c r="F591" i="5"/>
  <c r="F590" i="5"/>
  <c r="F589" i="5"/>
  <c r="E586" i="5"/>
  <c r="D586" i="5"/>
  <c r="C586" i="5"/>
  <c r="B586" i="5"/>
  <c r="F585" i="5"/>
  <c r="F584" i="5"/>
  <c r="F583" i="5"/>
  <c r="F582" i="5"/>
  <c r="F586" i="5" s="1"/>
  <c r="F581" i="5"/>
  <c r="F580" i="5"/>
  <c r="E572" i="5"/>
  <c r="D572" i="5"/>
  <c r="F571" i="5"/>
  <c r="E571" i="5"/>
  <c r="D571" i="5"/>
  <c r="C571" i="5"/>
  <c r="B571" i="5"/>
  <c r="E570" i="5"/>
  <c r="D570" i="5"/>
  <c r="C570" i="5"/>
  <c r="B570" i="5"/>
  <c r="E569" i="5"/>
  <c r="D569" i="5"/>
  <c r="C569" i="5"/>
  <c r="B569" i="5"/>
  <c r="F568" i="5"/>
  <c r="E568" i="5"/>
  <c r="D568" i="5"/>
  <c r="C568" i="5"/>
  <c r="B568" i="5"/>
  <c r="F567" i="5"/>
  <c r="E567" i="5"/>
  <c r="D567" i="5"/>
  <c r="C567" i="5"/>
  <c r="B567" i="5"/>
  <c r="E566" i="5"/>
  <c r="D566" i="5"/>
  <c r="C566" i="5"/>
  <c r="B566" i="5"/>
  <c r="E563" i="5"/>
  <c r="D563" i="5"/>
  <c r="C563" i="5"/>
  <c r="C572" i="5" s="1"/>
  <c r="B563" i="5"/>
  <c r="F562" i="5"/>
  <c r="F561" i="5"/>
  <c r="F570" i="5" s="1"/>
  <c r="F560" i="5"/>
  <c r="F569" i="5" s="1"/>
  <c r="F559" i="5"/>
  <c r="F558" i="5"/>
  <c r="F557" i="5"/>
  <c r="F566" i="5" s="1"/>
  <c r="E554" i="5"/>
  <c r="D554" i="5"/>
  <c r="C554" i="5"/>
  <c r="B554" i="5"/>
  <c r="F553" i="5"/>
  <c r="F552" i="5"/>
  <c r="F551" i="5"/>
  <c r="F550" i="5"/>
  <c r="F549" i="5"/>
  <c r="F548" i="5"/>
  <c r="F554" i="5" s="1"/>
  <c r="B540" i="5"/>
  <c r="F539" i="5"/>
  <c r="E539" i="5"/>
  <c r="D539" i="5"/>
  <c r="C539" i="5"/>
  <c r="B539" i="5"/>
  <c r="E538" i="5"/>
  <c r="D538" i="5"/>
  <c r="C538" i="5"/>
  <c r="B538" i="5"/>
  <c r="E537" i="5"/>
  <c r="D537" i="5"/>
  <c r="C537" i="5"/>
  <c r="B537" i="5"/>
  <c r="F536" i="5"/>
  <c r="E536" i="5"/>
  <c r="D536" i="5"/>
  <c r="C536" i="5"/>
  <c r="B536" i="5"/>
  <c r="F535" i="5"/>
  <c r="E535" i="5"/>
  <c r="D535" i="5"/>
  <c r="C535" i="5"/>
  <c r="B535" i="5"/>
  <c r="E534" i="5"/>
  <c r="D534" i="5"/>
  <c r="C534" i="5"/>
  <c r="B534" i="5"/>
  <c r="E530" i="5"/>
  <c r="E540" i="5" s="1"/>
  <c r="D530" i="5"/>
  <c r="C530" i="5"/>
  <c r="C540" i="5" s="1"/>
  <c r="B530" i="5"/>
  <c r="F529" i="5"/>
  <c r="F528" i="5"/>
  <c r="F527" i="5"/>
  <c r="F526" i="5"/>
  <c r="F525" i="5"/>
  <c r="F524" i="5"/>
  <c r="F534" i="5" s="1"/>
  <c r="E521" i="5"/>
  <c r="D521" i="5"/>
  <c r="D540" i="5" s="1"/>
  <c r="C521" i="5"/>
  <c r="B521" i="5"/>
  <c r="F520" i="5"/>
  <c r="F519" i="5"/>
  <c r="F518" i="5"/>
  <c r="F517" i="5"/>
  <c r="F516" i="5"/>
  <c r="F515" i="5"/>
  <c r="E507" i="5"/>
  <c r="E506" i="5"/>
  <c r="D506" i="5"/>
  <c r="C506" i="5"/>
  <c r="B506" i="5"/>
  <c r="E505" i="5"/>
  <c r="D505" i="5"/>
  <c r="C505" i="5"/>
  <c r="B505" i="5"/>
  <c r="F504" i="5"/>
  <c r="E504" i="5"/>
  <c r="D504" i="5"/>
  <c r="C504" i="5"/>
  <c r="B504" i="5"/>
  <c r="F503" i="5"/>
  <c r="E503" i="5"/>
  <c r="D503" i="5"/>
  <c r="C503" i="5"/>
  <c r="B503" i="5"/>
  <c r="E502" i="5"/>
  <c r="D502" i="5"/>
  <c r="C502" i="5"/>
  <c r="B502" i="5"/>
  <c r="E501" i="5"/>
  <c r="D501" i="5"/>
  <c r="C501" i="5"/>
  <c r="B501" i="5"/>
  <c r="E498" i="5"/>
  <c r="D498" i="5"/>
  <c r="D507" i="5" s="1"/>
  <c r="C498" i="5"/>
  <c r="B498" i="5"/>
  <c r="F497" i="5"/>
  <c r="F496" i="5"/>
  <c r="F495" i="5"/>
  <c r="F494" i="5"/>
  <c r="F493" i="5"/>
  <c r="F492" i="5"/>
  <c r="E489" i="5"/>
  <c r="D489" i="5"/>
  <c r="C489" i="5"/>
  <c r="C507" i="5" s="1"/>
  <c r="B489" i="5"/>
  <c r="B507" i="5" s="1"/>
  <c r="F488" i="5"/>
  <c r="F506" i="5" s="1"/>
  <c r="F487" i="5"/>
  <c r="F505" i="5" s="1"/>
  <c r="F486" i="5"/>
  <c r="F485" i="5"/>
  <c r="F484" i="5"/>
  <c r="F483" i="5"/>
  <c r="B475" i="5"/>
  <c r="E474" i="5"/>
  <c r="D474" i="5"/>
  <c r="C474" i="5"/>
  <c r="B474" i="5"/>
  <c r="F473" i="5"/>
  <c r="E473" i="5"/>
  <c r="D473" i="5"/>
  <c r="C473" i="5"/>
  <c r="B473" i="5"/>
  <c r="E472" i="5"/>
  <c r="D472" i="5"/>
  <c r="C472" i="5"/>
  <c r="B472" i="5"/>
  <c r="E471" i="5"/>
  <c r="D471" i="5"/>
  <c r="C471" i="5"/>
  <c r="B471" i="5"/>
  <c r="E470" i="5"/>
  <c r="D470" i="5"/>
  <c r="C470" i="5"/>
  <c r="B470" i="5"/>
  <c r="E469" i="5"/>
  <c r="D469" i="5"/>
  <c r="D475" i="5" s="1"/>
  <c r="C469" i="5"/>
  <c r="B469" i="5"/>
  <c r="F468" i="5"/>
  <c r="E468" i="5"/>
  <c r="E466" i="5"/>
  <c r="D466" i="5"/>
  <c r="C466" i="5"/>
  <c r="B466" i="5"/>
  <c r="F465" i="5"/>
  <c r="F474" i="5" s="1"/>
  <c r="F464" i="5"/>
  <c r="F463" i="5"/>
  <c r="F462" i="5"/>
  <c r="F461" i="5"/>
  <c r="F460" i="5"/>
  <c r="F459" i="5"/>
  <c r="E459" i="5"/>
  <c r="E457" i="5"/>
  <c r="D457" i="5"/>
  <c r="C457" i="5"/>
  <c r="B457" i="5"/>
  <c r="F456" i="5"/>
  <c r="F455" i="5"/>
  <c r="F454" i="5"/>
  <c r="F472" i="5" s="1"/>
  <c r="F453" i="5"/>
  <c r="F471" i="5" s="1"/>
  <c r="F452" i="5"/>
  <c r="F470" i="5" s="1"/>
  <c r="F451" i="5"/>
  <c r="F457" i="5" s="1"/>
  <c r="C442" i="5"/>
  <c r="B442" i="5"/>
  <c r="E441" i="5"/>
  <c r="D441" i="5"/>
  <c r="C441" i="5"/>
  <c r="B441" i="5"/>
  <c r="F440" i="5"/>
  <c r="E440" i="5"/>
  <c r="D440" i="5"/>
  <c r="C440" i="5"/>
  <c r="B440" i="5"/>
  <c r="E439" i="5"/>
  <c r="D439" i="5"/>
  <c r="C439" i="5"/>
  <c r="B439" i="5"/>
  <c r="E438" i="5"/>
  <c r="D438" i="5"/>
  <c r="C438" i="5"/>
  <c r="B438" i="5"/>
  <c r="E437" i="5"/>
  <c r="D437" i="5"/>
  <c r="C437" i="5"/>
  <c r="B437" i="5"/>
  <c r="E436" i="5"/>
  <c r="D436" i="5"/>
  <c r="C436" i="5"/>
  <c r="B436" i="5"/>
  <c r="B435" i="5"/>
  <c r="E433" i="5"/>
  <c r="D433" i="5"/>
  <c r="C433" i="5"/>
  <c r="B433" i="5"/>
  <c r="F432" i="5"/>
  <c r="F441" i="5" s="1"/>
  <c r="F431" i="5"/>
  <c r="F433" i="5" s="1"/>
  <c r="F430" i="5"/>
  <c r="F429" i="5"/>
  <c r="F428" i="5"/>
  <c r="F427" i="5"/>
  <c r="F426" i="5"/>
  <c r="F435" i="5" s="1"/>
  <c r="E426" i="5"/>
  <c r="E435" i="5" s="1"/>
  <c r="D426" i="5"/>
  <c r="D435" i="5" s="1"/>
  <c r="C426" i="5"/>
  <c r="C435" i="5" s="1"/>
  <c r="B426" i="5"/>
  <c r="E424" i="5"/>
  <c r="E442" i="5" s="1"/>
  <c r="D424" i="5"/>
  <c r="D442" i="5" s="1"/>
  <c r="C424" i="5"/>
  <c r="B424" i="5"/>
  <c r="F423" i="5"/>
  <c r="F422" i="5"/>
  <c r="F421" i="5"/>
  <c r="F439" i="5" s="1"/>
  <c r="F420" i="5"/>
  <c r="F438" i="5" s="1"/>
  <c r="F419" i="5"/>
  <c r="F437" i="5" s="1"/>
  <c r="F418" i="5"/>
  <c r="F436" i="5" s="1"/>
  <c r="F409" i="5"/>
  <c r="D407" i="5"/>
  <c r="E406" i="5"/>
  <c r="D406" i="5"/>
  <c r="C406" i="5"/>
  <c r="B406" i="5"/>
  <c r="E405" i="5"/>
  <c r="D405" i="5"/>
  <c r="C405" i="5"/>
  <c r="B405" i="5"/>
  <c r="E404" i="5"/>
  <c r="D404" i="5"/>
  <c r="C404" i="5"/>
  <c r="B404" i="5"/>
  <c r="F403" i="5"/>
  <c r="E403" i="5"/>
  <c r="D403" i="5"/>
  <c r="C403" i="5"/>
  <c r="B403" i="5"/>
  <c r="E402" i="5"/>
  <c r="D402" i="5"/>
  <c r="C402" i="5"/>
  <c r="B402" i="5"/>
  <c r="E401" i="5"/>
  <c r="D401" i="5"/>
  <c r="C401" i="5"/>
  <c r="B401" i="5"/>
  <c r="F400" i="5"/>
  <c r="E400" i="5"/>
  <c r="D400" i="5"/>
  <c r="C400" i="5"/>
  <c r="E398" i="5"/>
  <c r="D398" i="5"/>
  <c r="C398" i="5"/>
  <c r="B398" i="5"/>
  <c r="F397" i="5"/>
  <c r="F396" i="5"/>
  <c r="F395" i="5"/>
  <c r="F394" i="5"/>
  <c r="F393" i="5"/>
  <c r="F402" i="5" s="1"/>
  <c r="F392" i="5"/>
  <c r="F398" i="5" s="1"/>
  <c r="F391" i="5"/>
  <c r="E391" i="5"/>
  <c r="D391" i="5"/>
  <c r="C391" i="5"/>
  <c r="B391" i="5"/>
  <c r="B400" i="5" s="1"/>
  <c r="E389" i="5"/>
  <c r="E407" i="5" s="1"/>
  <c r="D389" i="5"/>
  <c r="C389" i="5"/>
  <c r="C407" i="5" s="1"/>
  <c r="B389" i="5"/>
  <c r="B407" i="5" s="1"/>
  <c r="F388" i="5"/>
  <c r="F406" i="5" s="1"/>
  <c r="F387" i="5"/>
  <c r="F386" i="5"/>
  <c r="F404" i="5" s="1"/>
  <c r="F385" i="5"/>
  <c r="F384" i="5"/>
  <c r="F383" i="5"/>
  <c r="F376" i="5"/>
  <c r="E374" i="5"/>
  <c r="F373" i="5"/>
  <c r="E373" i="5"/>
  <c r="D373" i="5"/>
  <c r="C373" i="5"/>
  <c r="B373" i="5"/>
  <c r="E372" i="5"/>
  <c r="D372" i="5"/>
  <c r="C372" i="5"/>
  <c r="B372" i="5"/>
  <c r="E371" i="5"/>
  <c r="D371" i="5"/>
  <c r="C371" i="5"/>
  <c r="B371" i="5"/>
  <c r="E370" i="5"/>
  <c r="D370" i="5"/>
  <c r="C370" i="5"/>
  <c r="B370" i="5"/>
  <c r="E369" i="5"/>
  <c r="D369" i="5"/>
  <c r="C369" i="5"/>
  <c r="B369" i="5"/>
  <c r="F368" i="5"/>
  <c r="E366" i="5"/>
  <c r="D366" i="5"/>
  <c r="C366" i="5"/>
  <c r="B366" i="5"/>
  <c r="F365" i="5"/>
  <c r="F364" i="5"/>
  <c r="F372" i="5" s="1"/>
  <c r="F363" i="5"/>
  <c r="F362" i="5"/>
  <c r="F361" i="5"/>
  <c r="F360" i="5"/>
  <c r="E360" i="5"/>
  <c r="E368" i="5" s="1"/>
  <c r="D360" i="5"/>
  <c r="D368" i="5" s="1"/>
  <c r="C360" i="5"/>
  <c r="C368" i="5" s="1"/>
  <c r="B360" i="5"/>
  <c r="B368" i="5" s="1"/>
  <c r="E358" i="5"/>
  <c r="D358" i="5"/>
  <c r="D374" i="5" s="1"/>
  <c r="C358" i="5"/>
  <c r="C374" i="5" s="1"/>
  <c r="B358" i="5"/>
  <c r="B374" i="5" s="1"/>
  <c r="F357" i="5"/>
  <c r="F356" i="5"/>
  <c r="F355" i="5"/>
  <c r="F354" i="5"/>
  <c r="F370" i="5" s="1"/>
  <c r="F353" i="5"/>
  <c r="F369" i="5" s="1"/>
  <c r="F346" i="5"/>
  <c r="B344" i="5"/>
  <c r="F343" i="5"/>
  <c r="E343" i="5"/>
  <c r="D343" i="5"/>
  <c r="C343" i="5"/>
  <c r="B343" i="5"/>
  <c r="E342" i="5"/>
  <c r="D342" i="5"/>
  <c r="C342" i="5"/>
  <c r="B342" i="5"/>
  <c r="F341" i="5"/>
  <c r="E341" i="5"/>
  <c r="D341" i="5"/>
  <c r="C341" i="5"/>
  <c r="B341" i="5"/>
  <c r="E340" i="5"/>
  <c r="D340" i="5"/>
  <c r="C340" i="5"/>
  <c r="B340" i="5"/>
  <c r="E339" i="5"/>
  <c r="D339" i="5"/>
  <c r="C339" i="5"/>
  <c r="B339" i="5"/>
  <c r="B338" i="5"/>
  <c r="E336" i="5"/>
  <c r="D336" i="5"/>
  <c r="C336" i="5"/>
  <c r="B336" i="5"/>
  <c r="F335" i="5"/>
  <c r="F334" i="5"/>
  <c r="F333" i="5"/>
  <c r="F332" i="5"/>
  <c r="F331" i="5"/>
  <c r="F330" i="5"/>
  <c r="F338" i="5" s="1"/>
  <c r="E330" i="5"/>
  <c r="E338" i="5" s="1"/>
  <c r="D330" i="5"/>
  <c r="D338" i="5" s="1"/>
  <c r="C330" i="5"/>
  <c r="C338" i="5" s="1"/>
  <c r="B330" i="5"/>
  <c r="E328" i="5"/>
  <c r="E344" i="5" s="1"/>
  <c r="D328" i="5"/>
  <c r="D344" i="5" s="1"/>
  <c r="C328" i="5"/>
  <c r="C344" i="5" s="1"/>
  <c r="B328" i="5"/>
  <c r="F327" i="5"/>
  <c r="F326" i="5"/>
  <c r="F325" i="5"/>
  <c r="F324" i="5"/>
  <c r="F340" i="5" s="1"/>
  <c r="F323" i="5"/>
  <c r="F339" i="5" s="1"/>
  <c r="F316" i="5"/>
  <c r="C314" i="5"/>
  <c r="B314" i="5"/>
  <c r="E313" i="5"/>
  <c r="D313" i="5"/>
  <c r="C313" i="5"/>
  <c r="B313" i="5"/>
  <c r="F312" i="5"/>
  <c r="E312" i="5"/>
  <c r="D312" i="5"/>
  <c r="C312" i="5"/>
  <c r="B312" i="5"/>
  <c r="E311" i="5"/>
  <c r="D311" i="5"/>
  <c r="C311" i="5"/>
  <c r="B311" i="5"/>
  <c r="E310" i="5"/>
  <c r="D310" i="5"/>
  <c r="C310" i="5"/>
  <c r="B310" i="5"/>
  <c r="E309" i="5"/>
  <c r="D309" i="5"/>
  <c r="C309" i="5"/>
  <c r="B309" i="5"/>
  <c r="C308" i="5"/>
  <c r="B308" i="5"/>
  <c r="E306" i="5"/>
  <c r="D306" i="5"/>
  <c r="C306" i="5"/>
  <c r="B306" i="5"/>
  <c r="F305" i="5"/>
  <c r="F306" i="5" s="1"/>
  <c r="F304" i="5"/>
  <c r="F303" i="5"/>
  <c r="F302" i="5"/>
  <c r="F301" i="5"/>
  <c r="F300" i="5"/>
  <c r="F308" i="5" s="1"/>
  <c r="E300" i="5"/>
  <c r="E308" i="5" s="1"/>
  <c r="D300" i="5"/>
  <c r="D308" i="5" s="1"/>
  <c r="C300" i="5"/>
  <c r="B300" i="5"/>
  <c r="E298" i="5"/>
  <c r="E314" i="5" s="1"/>
  <c r="D298" i="5"/>
  <c r="D314" i="5" s="1"/>
  <c r="C298" i="5"/>
  <c r="B298" i="5"/>
  <c r="F297" i="5"/>
  <c r="F296" i="5"/>
  <c r="F295" i="5"/>
  <c r="F311" i="5" s="1"/>
  <c r="F294" i="5"/>
  <c r="F310" i="5" s="1"/>
  <c r="F293" i="5"/>
  <c r="F309" i="5" s="1"/>
  <c r="F285" i="5"/>
  <c r="D283" i="5"/>
  <c r="C283" i="5"/>
  <c r="E282" i="5"/>
  <c r="D282" i="5"/>
  <c r="C282" i="5"/>
  <c r="B282" i="5"/>
  <c r="E281" i="5"/>
  <c r="D281" i="5"/>
  <c r="C281" i="5"/>
  <c r="B281" i="5"/>
  <c r="F280" i="5"/>
  <c r="E280" i="5"/>
  <c r="D280" i="5"/>
  <c r="C280" i="5"/>
  <c r="B280" i="5"/>
  <c r="F279" i="5"/>
  <c r="E279" i="5"/>
  <c r="D279" i="5"/>
  <c r="C279" i="5"/>
  <c r="B279" i="5"/>
  <c r="E278" i="5"/>
  <c r="D278" i="5"/>
  <c r="C278" i="5"/>
  <c r="B278" i="5"/>
  <c r="D277" i="5"/>
  <c r="C277" i="5"/>
  <c r="B277" i="5"/>
  <c r="E275" i="5"/>
  <c r="D275" i="5"/>
  <c r="C275" i="5"/>
  <c r="B275" i="5"/>
  <c r="F274" i="5"/>
  <c r="F273" i="5"/>
  <c r="F272" i="5"/>
  <c r="F271" i="5"/>
  <c r="F270" i="5"/>
  <c r="F275" i="5" s="1"/>
  <c r="F269" i="5"/>
  <c r="F277" i="5" s="1"/>
  <c r="E269" i="5"/>
  <c r="E277" i="5" s="1"/>
  <c r="D269" i="5"/>
  <c r="C269" i="5"/>
  <c r="B269" i="5"/>
  <c r="E267" i="5"/>
  <c r="E283" i="5" s="1"/>
  <c r="D267" i="5"/>
  <c r="C267" i="5"/>
  <c r="B267" i="5"/>
  <c r="F266" i="5"/>
  <c r="F282" i="5" s="1"/>
  <c r="F265" i="5"/>
  <c r="F281" i="5" s="1"/>
  <c r="F264" i="5"/>
  <c r="F263" i="5"/>
  <c r="F267" i="5" s="1"/>
  <c r="F283" i="5" s="1"/>
  <c r="F262" i="5"/>
  <c r="F278" i="5" s="1"/>
  <c r="F254" i="5"/>
  <c r="E252" i="5"/>
  <c r="D252" i="5"/>
  <c r="E251" i="5"/>
  <c r="D251" i="5"/>
  <c r="C251" i="5"/>
  <c r="B251" i="5"/>
  <c r="E250" i="5"/>
  <c r="D250" i="5"/>
  <c r="C250" i="5"/>
  <c r="B250" i="5"/>
  <c r="E249" i="5"/>
  <c r="D249" i="5"/>
  <c r="C249" i="5"/>
  <c r="B249" i="5"/>
  <c r="E248" i="5"/>
  <c r="D248" i="5"/>
  <c r="C248" i="5"/>
  <c r="B248" i="5"/>
  <c r="E247" i="5"/>
  <c r="D247" i="5"/>
  <c r="C247" i="5"/>
  <c r="B247" i="5"/>
  <c r="E246" i="5"/>
  <c r="D246" i="5"/>
  <c r="C246" i="5"/>
  <c r="E244" i="5"/>
  <c r="D244" i="5"/>
  <c r="C244" i="5"/>
  <c r="B244" i="5"/>
  <c r="F243" i="5"/>
  <c r="F242" i="5"/>
  <c r="F241" i="5"/>
  <c r="F240" i="5"/>
  <c r="F248" i="5" s="1"/>
  <c r="F239" i="5"/>
  <c r="F244" i="5" s="1"/>
  <c r="F238" i="5"/>
  <c r="F246" i="5" s="1"/>
  <c r="E238" i="5"/>
  <c r="D238" i="5"/>
  <c r="C238" i="5"/>
  <c r="B238" i="5"/>
  <c r="B246" i="5" s="1"/>
  <c r="F236" i="5"/>
  <c r="E236" i="5"/>
  <c r="D236" i="5"/>
  <c r="C236" i="5"/>
  <c r="B236" i="5"/>
  <c r="B252" i="5" s="1"/>
  <c r="F235" i="5"/>
  <c r="F251" i="5" s="1"/>
  <c r="F234" i="5"/>
  <c r="F250" i="5" s="1"/>
  <c r="F233" i="5"/>
  <c r="F249" i="5" s="1"/>
  <c r="F232" i="5"/>
  <c r="F231" i="5"/>
  <c r="F222" i="5"/>
  <c r="E220" i="5"/>
  <c r="E219" i="5"/>
  <c r="D219" i="5"/>
  <c r="C219" i="5"/>
  <c r="B219" i="5"/>
  <c r="E218" i="5"/>
  <c r="D218" i="5"/>
  <c r="C218" i="5"/>
  <c r="B218" i="5"/>
  <c r="E217" i="5"/>
  <c r="D217" i="5"/>
  <c r="C217" i="5"/>
  <c r="B217" i="5"/>
  <c r="F216" i="5"/>
  <c r="E216" i="5"/>
  <c r="D216" i="5"/>
  <c r="C216" i="5"/>
  <c r="B216" i="5"/>
  <c r="F215" i="5"/>
  <c r="E215" i="5"/>
  <c r="D215" i="5"/>
  <c r="C215" i="5"/>
  <c r="B215" i="5"/>
  <c r="F214" i="5"/>
  <c r="E214" i="5"/>
  <c r="D214" i="5"/>
  <c r="E212" i="5"/>
  <c r="D212" i="5"/>
  <c r="C212" i="5"/>
  <c r="B212" i="5"/>
  <c r="F211" i="5"/>
  <c r="F210" i="5"/>
  <c r="F209" i="5"/>
  <c r="F208" i="5"/>
  <c r="F207" i="5"/>
  <c r="F212" i="5" s="1"/>
  <c r="F206" i="5"/>
  <c r="E206" i="5"/>
  <c r="D206" i="5"/>
  <c r="C206" i="5"/>
  <c r="C214" i="5" s="1"/>
  <c r="B206" i="5"/>
  <c r="B214" i="5" s="1"/>
  <c r="E204" i="5"/>
  <c r="D204" i="5"/>
  <c r="D220" i="5" s="1"/>
  <c r="C204" i="5"/>
  <c r="C220" i="5" s="1"/>
  <c r="B204" i="5"/>
  <c r="B220" i="5" s="1"/>
  <c r="F203" i="5"/>
  <c r="F219" i="5" s="1"/>
  <c r="F202" i="5"/>
  <c r="F218" i="5" s="1"/>
  <c r="F201" i="5"/>
  <c r="F217" i="5" s="1"/>
  <c r="F200" i="5"/>
  <c r="F199" i="5"/>
  <c r="F204" i="5" s="1"/>
  <c r="F220" i="5" s="1"/>
  <c r="F190" i="5"/>
  <c r="F187" i="5"/>
  <c r="E187" i="5"/>
  <c r="D187" i="5"/>
  <c r="C187" i="5"/>
  <c r="B187" i="5"/>
  <c r="E186" i="5"/>
  <c r="D186" i="5"/>
  <c r="C186" i="5"/>
  <c r="B186" i="5"/>
  <c r="E185" i="5"/>
  <c r="D185" i="5"/>
  <c r="C185" i="5"/>
  <c r="B185" i="5"/>
  <c r="E184" i="5"/>
  <c r="D184" i="5"/>
  <c r="C184" i="5"/>
  <c r="B184" i="5"/>
  <c r="E183" i="5"/>
  <c r="D183" i="5"/>
  <c r="C183" i="5"/>
  <c r="B183" i="5"/>
  <c r="F182" i="5"/>
  <c r="E182" i="5"/>
  <c r="B182" i="5"/>
  <c r="E180" i="5"/>
  <c r="D180" i="5"/>
  <c r="C180" i="5"/>
  <c r="B180" i="5"/>
  <c r="F179" i="5"/>
  <c r="F178" i="5"/>
  <c r="F177" i="5"/>
  <c r="F176" i="5"/>
  <c r="F184" i="5" s="1"/>
  <c r="F175" i="5"/>
  <c r="F174" i="5"/>
  <c r="E174" i="5"/>
  <c r="D174" i="5"/>
  <c r="D182" i="5" s="1"/>
  <c r="C174" i="5"/>
  <c r="C182" i="5" s="1"/>
  <c r="B174" i="5"/>
  <c r="E172" i="5"/>
  <c r="D172" i="5"/>
  <c r="D188" i="5" s="1"/>
  <c r="C172" i="5"/>
  <c r="C188" i="5" s="1"/>
  <c r="B172" i="5"/>
  <c r="B188" i="5" s="1"/>
  <c r="F171" i="5"/>
  <c r="F170" i="5"/>
  <c r="F186" i="5" s="1"/>
  <c r="F169" i="5"/>
  <c r="F185" i="5" s="1"/>
  <c r="F168" i="5"/>
  <c r="F167" i="5"/>
  <c r="F183" i="5" s="1"/>
  <c r="F158" i="5"/>
  <c r="B158" i="5"/>
  <c r="C156" i="5"/>
  <c r="F155" i="5"/>
  <c r="E155" i="5"/>
  <c r="C155" i="5"/>
  <c r="B155" i="5"/>
  <c r="E154" i="5"/>
  <c r="C154" i="5"/>
  <c r="B154" i="5"/>
  <c r="E153" i="5"/>
  <c r="C153" i="5"/>
  <c r="B153" i="5"/>
  <c r="E152" i="5"/>
  <c r="C152" i="5"/>
  <c r="B152" i="5"/>
  <c r="E151" i="5"/>
  <c r="C151" i="5"/>
  <c r="B151" i="5"/>
  <c r="D150" i="5"/>
  <c r="C150" i="5"/>
  <c r="B150" i="5"/>
  <c r="E148" i="5"/>
  <c r="D148" i="5"/>
  <c r="D156" i="5" s="1"/>
  <c r="C148" i="5"/>
  <c r="B148" i="5"/>
  <c r="B156" i="5" s="1"/>
  <c r="F147" i="5"/>
  <c r="F146" i="5"/>
  <c r="F145" i="5"/>
  <c r="F144" i="5"/>
  <c r="F143" i="5"/>
  <c r="F148" i="5" s="1"/>
  <c r="F142" i="5"/>
  <c r="F150" i="5" s="1"/>
  <c r="E142" i="5"/>
  <c r="E150" i="5" s="1"/>
  <c r="D142" i="5"/>
  <c r="C142" i="5"/>
  <c r="B142" i="5"/>
  <c r="E140" i="5"/>
  <c r="E156" i="5" s="1"/>
  <c r="D140" i="5"/>
  <c r="C140" i="5"/>
  <c r="B140" i="5"/>
  <c r="F139" i="5"/>
  <c r="F138" i="5"/>
  <c r="F154" i="5" s="1"/>
  <c r="F137" i="5"/>
  <c r="F153" i="5" s="1"/>
  <c r="F136" i="5"/>
  <c r="F152" i="5" s="1"/>
  <c r="F135" i="5"/>
  <c r="E94" i="5"/>
  <c r="D94" i="5"/>
  <c r="C94" i="5"/>
  <c r="E93" i="5"/>
  <c r="D93" i="5"/>
  <c r="C93" i="5"/>
  <c r="B93" i="5"/>
  <c r="B94" i="5" s="1"/>
  <c r="E86" i="5"/>
  <c r="D86" i="5"/>
  <c r="C86" i="5"/>
  <c r="B86" i="5"/>
  <c r="F85" i="5"/>
  <c r="F86" i="5" s="1"/>
  <c r="E78" i="5"/>
  <c r="D78" i="5"/>
  <c r="C78" i="5"/>
  <c r="B78" i="5"/>
  <c r="F77" i="5"/>
  <c r="F78" i="5" s="1"/>
  <c r="E70" i="5"/>
  <c r="D70" i="5"/>
  <c r="C70" i="5"/>
  <c r="B70" i="5"/>
  <c r="F69" i="5"/>
  <c r="F70" i="5" s="1"/>
  <c r="E62" i="5"/>
  <c r="D62" i="5"/>
  <c r="C62" i="5"/>
  <c r="B62" i="5"/>
  <c r="F61" i="5"/>
  <c r="F62" i="5" s="1"/>
  <c r="F50" i="5"/>
  <c r="E50" i="5"/>
  <c r="B50" i="5"/>
  <c r="D48" i="5"/>
  <c r="D47" i="5"/>
  <c r="C47" i="5"/>
  <c r="B47" i="5"/>
  <c r="D46" i="5"/>
  <c r="C46" i="5"/>
  <c r="B46" i="5"/>
  <c r="D45" i="5"/>
  <c r="C45" i="5"/>
  <c r="B45" i="5"/>
  <c r="D44" i="5"/>
  <c r="C44" i="5"/>
  <c r="D43" i="5"/>
  <c r="C43" i="5"/>
  <c r="D42" i="5"/>
  <c r="C42" i="5"/>
  <c r="C48" i="5" s="1"/>
  <c r="D39" i="5"/>
  <c r="C39" i="5"/>
  <c r="E38" i="5"/>
  <c r="B38" i="5"/>
  <c r="F38" i="5" s="1"/>
  <c r="F37" i="5"/>
  <c r="E37" i="5"/>
  <c r="B37" i="5"/>
  <c r="F36" i="5"/>
  <c r="E36" i="5"/>
  <c r="B36" i="5"/>
  <c r="E35" i="5"/>
  <c r="B35" i="5"/>
  <c r="E34" i="5"/>
  <c r="B34" i="5"/>
  <c r="F34" i="5" s="1"/>
  <c r="F33" i="5"/>
  <c r="E33" i="5"/>
  <c r="B33" i="5"/>
  <c r="B39" i="5" s="1"/>
  <c r="D30" i="5"/>
  <c r="C30" i="5"/>
  <c r="E29" i="5"/>
  <c r="B29" i="5"/>
  <c r="F29" i="5" s="1"/>
  <c r="E28" i="5"/>
  <c r="E46" i="5" s="1"/>
  <c r="B28" i="5"/>
  <c r="F28" i="5" s="1"/>
  <c r="F27" i="5"/>
  <c r="E27" i="5"/>
  <c r="B27" i="5"/>
  <c r="E26" i="5"/>
  <c r="B26" i="5"/>
  <c r="F26" i="5" s="1"/>
  <c r="E25" i="5"/>
  <c r="B25" i="5"/>
  <c r="F25" i="5" s="1"/>
  <c r="E24" i="5"/>
  <c r="E42" i="5" s="1"/>
  <c r="B24" i="5"/>
  <c r="F24" i="5" s="1"/>
  <c r="D21" i="5"/>
  <c r="C21" i="5"/>
  <c r="F20" i="5"/>
  <c r="E20" i="5"/>
  <c r="B20" i="5"/>
  <c r="E19" i="5"/>
  <c r="B19" i="5"/>
  <c r="F19" i="5" s="1"/>
  <c r="E18" i="5"/>
  <c r="E21" i="5" s="1"/>
  <c r="B18" i="5"/>
  <c r="F18" i="5" s="1"/>
  <c r="E17" i="5"/>
  <c r="B17" i="5"/>
  <c r="F17" i="5" s="1"/>
  <c r="F16" i="5"/>
  <c r="E16" i="5"/>
  <c r="B16" i="5"/>
  <c r="E15" i="5"/>
  <c r="B15" i="5"/>
  <c r="F15" i="5" s="1"/>
  <c r="D12" i="5"/>
  <c r="C12" i="5"/>
  <c r="E11" i="5"/>
  <c r="B11" i="5"/>
  <c r="E10" i="5"/>
  <c r="B10" i="5"/>
  <c r="F10" i="5" s="1"/>
  <c r="F9" i="5"/>
  <c r="F45" i="5" s="1"/>
  <c r="E9" i="5"/>
  <c r="E45" i="5" s="1"/>
  <c r="B9" i="5"/>
  <c r="F8" i="5"/>
  <c r="E8" i="5"/>
  <c r="B8" i="5"/>
  <c r="B44" i="5" s="1"/>
  <c r="E7" i="5"/>
  <c r="E43" i="5" s="1"/>
  <c r="B7" i="5"/>
  <c r="B43" i="5" s="1"/>
  <c r="E6" i="5"/>
  <c r="B6" i="5"/>
  <c r="F6" i="5" s="1"/>
  <c r="F601" i="4"/>
  <c r="F600" i="4"/>
  <c r="F599" i="4"/>
  <c r="F598" i="4"/>
  <c r="F597" i="4"/>
  <c r="F596" i="4"/>
  <c r="E593" i="4"/>
  <c r="E602" i="4" s="1"/>
  <c r="D593" i="4"/>
  <c r="C593" i="4"/>
  <c r="C602" i="4" s="1"/>
  <c r="B593" i="4"/>
  <c r="F592" i="4"/>
  <c r="F591" i="4"/>
  <c r="F590" i="4"/>
  <c r="F589" i="4"/>
  <c r="F593" i="4" s="1"/>
  <c r="F588" i="4"/>
  <c r="F587" i="4"/>
  <c r="E584" i="4"/>
  <c r="D584" i="4"/>
  <c r="D602" i="4" s="1"/>
  <c r="C584" i="4"/>
  <c r="B584" i="4"/>
  <c r="B602" i="4" s="1"/>
  <c r="F583" i="4"/>
  <c r="F582" i="4"/>
  <c r="F581" i="4"/>
  <c r="F580" i="4"/>
  <c r="F579" i="4"/>
  <c r="F578" i="4"/>
  <c r="F584" i="4" s="1"/>
  <c r="F602" i="4" s="1"/>
  <c r="D570" i="4"/>
  <c r="C570" i="4"/>
  <c r="E569" i="4"/>
  <c r="D569" i="4"/>
  <c r="C569" i="4"/>
  <c r="B569" i="4"/>
  <c r="F568" i="4"/>
  <c r="E568" i="4"/>
  <c r="D568" i="4"/>
  <c r="C568" i="4"/>
  <c r="B568" i="4"/>
  <c r="F567" i="4"/>
  <c r="E567" i="4"/>
  <c r="D567" i="4"/>
  <c r="C567" i="4"/>
  <c r="B567" i="4"/>
  <c r="E566" i="4"/>
  <c r="D566" i="4"/>
  <c r="C566" i="4"/>
  <c r="B566" i="4"/>
  <c r="E565" i="4"/>
  <c r="D565" i="4"/>
  <c r="C565" i="4"/>
  <c r="B565" i="4"/>
  <c r="F564" i="4"/>
  <c r="E564" i="4"/>
  <c r="D564" i="4"/>
  <c r="C564" i="4"/>
  <c r="B564" i="4"/>
  <c r="E561" i="4"/>
  <c r="D561" i="4"/>
  <c r="C561" i="4"/>
  <c r="B561" i="4"/>
  <c r="B570" i="4" s="1"/>
  <c r="F560" i="4"/>
  <c r="F559" i="4"/>
  <c r="F558" i="4"/>
  <c r="F557" i="4"/>
  <c r="F556" i="4"/>
  <c r="F555" i="4"/>
  <c r="F561" i="4" s="1"/>
  <c r="F552" i="4"/>
  <c r="E552" i="4"/>
  <c r="E570" i="4" s="1"/>
  <c r="D552" i="4"/>
  <c r="C552" i="4"/>
  <c r="B552" i="4"/>
  <c r="F551" i="4"/>
  <c r="F569" i="4" s="1"/>
  <c r="F550" i="4"/>
  <c r="F549" i="4"/>
  <c r="F548" i="4"/>
  <c r="F566" i="4" s="1"/>
  <c r="F547" i="4"/>
  <c r="F565" i="4" s="1"/>
  <c r="F546" i="4"/>
  <c r="E538" i="4"/>
  <c r="E537" i="4"/>
  <c r="D537" i="4"/>
  <c r="C537" i="4"/>
  <c r="B537" i="4"/>
  <c r="F537" i="4" s="1"/>
  <c r="E536" i="4"/>
  <c r="D536" i="4"/>
  <c r="C536" i="4"/>
  <c r="F536" i="4" s="1"/>
  <c r="B536" i="4"/>
  <c r="E535" i="4"/>
  <c r="D535" i="4"/>
  <c r="C535" i="4"/>
  <c r="B535" i="4"/>
  <c r="F535" i="4" s="1"/>
  <c r="F534" i="4"/>
  <c r="E534" i="4"/>
  <c r="D534" i="4"/>
  <c r="C534" i="4"/>
  <c r="B534" i="4"/>
  <c r="F533" i="4"/>
  <c r="E533" i="4"/>
  <c r="D533" i="4"/>
  <c r="C533" i="4"/>
  <c r="B533" i="4"/>
  <c r="F532" i="4"/>
  <c r="E532" i="4"/>
  <c r="D532" i="4"/>
  <c r="C532" i="4"/>
  <c r="B532" i="4"/>
  <c r="E528" i="4"/>
  <c r="D528" i="4"/>
  <c r="C528" i="4"/>
  <c r="B528" i="4"/>
  <c r="F527" i="4"/>
  <c r="F526" i="4"/>
  <c r="F525" i="4"/>
  <c r="F524" i="4"/>
  <c r="F523" i="4"/>
  <c r="F522" i="4"/>
  <c r="F528" i="4" s="1"/>
  <c r="E519" i="4"/>
  <c r="D519" i="4"/>
  <c r="D538" i="4" s="1"/>
  <c r="C519" i="4"/>
  <c r="C538" i="4" s="1"/>
  <c r="B519" i="4"/>
  <c r="B538" i="4" s="1"/>
  <c r="F518" i="4"/>
  <c r="F517" i="4"/>
  <c r="F516" i="4"/>
  <c r="F515" i="4"/>
  <c r="F514" i="4"/>
  <c r="F513" i="4"/>
  <c r="F519" i="4" s="1"/>
  <c r="C505" i="4"/>
  <c r="B505" i="4"/>
  <c r="E504" i="4"/>
  <c r="D504" i="4"/>
  <c r="C504" i="4"/>
  <c r="B504" i="4"/>
  <c r="F504" i="4" s="1"/>
  <c r="E503" i="4"/>
  <c r="D503" i="4"/>
  <c r="F503" i="4" s="1"/>
  <c r="C503" i="4"/>
  <c r="B503" i="4"/>
  <c r="E502" i="4"/>
  <c r="F502" i="4" s="1"/>
  <c r="D502" i="4"/>
  <c r="C502" i="4"/>
  <c r="B502" i="4"/>
  <c r="E501" i="4"/>
  <c r="D501" i="4"/>
  <c r="C501" i="4"/>
  <c r="B501" i="4"/>
  <c r="F501" i="4" s="1"/>
  <c r="E500" i="4"/>
  <c r="D500" i="4"/>
  <c r="C500" i="4"/>
  <c r="F500" i="4" s="1"/>
  <c r="B500" i="4"/>
  <c r="E499" i="4"/>
  <c r="D499" i="4"/>
  <c r="C499" i="4"/>
  <c r="B499" i="4"/>
  <c r="F499" i="4" s="1"/>
  <c r="E496" i="4"/>
  <c r="E505" i="4" s="1"/>
  <c r="D496" i="4"/>
  <c r="D505" i="4" s="1"/>
  <c r="C496" i="4"/>
  <c r="B496" i="4"/>
  <c r="F495" i="4"/>
  <c r="F494" i="4"/>
  <c r="F493" i="4"/>
  <c r="F492" i="4"/>
  <c r="F491" i="4"/>
  <c r="F490" i="4"/>
  <c r="E487" i="4"/>
  <c r="D487" i="4"/>
  <c r="C487" i="4"/>
  <c r="B487" i="4"/>
  <c r="F486" i="4"/>
  <c r="F485" i="4"/>
  <c r="F487" i="4" s="1"/>
  <c r="F484" i="4"/>
  <c r="F483" i="4"/>
  <c r="F482" i="4"/>
  <c r="F481" i="4"/>
  <c r="E472" i="4"/>
  <c r="D472" i="4"/>
  <c r="F472" i="4" s="1"/>
  <c r="C472" i="4"/>
  <c r="B472" i="4"/>
  <c r="E471" i="4"/>
  <c r="D471" i="4"/>
  <c r="C471" i="4"/>
  <c r="B471" i="4"/>
  <c r="F471" i="4" s="1"/>
  <c r="E470" i="4"/>
  <c r="D470" i="4"/>
  <c r="C470" i="4"/>
  <c r="B470" i="4"/>
  <c r="F470" i="4" s="1"/>
  <c r="E469" i="4"/>
  <c r="D469" i="4"/>
  <c r="C469" i="4"/>
  <c r="B469" i="4"/>
  <c r="F469" i="4" s="1"/>
  <c r="E468" i="4"/>
  <c r="D468" i="4"/>
  <c r="C468" i="4"/>
  <c r="B468" i="4"/>
  <c r="F468" i="4" s="1"/>
  <c r="E467" i="4"/>
  <c r="F467" i="4" s="1"/>
  <c r="D467" i="4"/>
  <c r="C467" i="4"/>
  <c r="B467" i="4"/>
  <c r="E464" i="4"/>
  <c r="E473" i="4" s="1"/>
  <c r="D464" i="4"/>
  <c r="C464" i="4"/>
  <c r="C473" i="4" s="1"/>
  <c r="B464" i="4"/>
  <c r="F463" i="4"/>
  <c r="F462" i="4"/>
  <c r="F461" i="4"/>
  <c r="F460" i="4"/>
  <c r="F464" i="4" s="1"/>
  <c r="F459" i="4"/>
  <c r="F458" i="4"/>
  <c r="E455" i="4"/>
  <c r="D455" i="4"/>
  <c r="D473" i="4" s="1"/>
  <c r="C455" i="4"/>
  <c r="B455" i="4"/>
  <c r="B473" i="4" s="1"/>
  <c r="F454" i="4"/>
  <c r="F453" i="4"/>
  <c r="F452" i="4"/>
  <c r="F451" i="4"/>
  <c r="F450" i="4"/>
  <c r="F449" i="4"/>
  <c r="F455" i="4" s="1"/>
  <c r="F473" i="4" s="1"/>
  <c r="C441" i="4"/>
  <c r="F440" i="4"/>
  <c r="E440" i="4"/>
  <c r="D440" i="4"/>
  <c r="C440" i="4"/>
  <c r="B440" i="4"/>
  <c r="F439" i="4"/>
  <c r="E439" i="4"/>
  <c r="D439" i="4"/>
  <c r="C439" i="4"/>
  <c r="B439" i="4"/>
  <c r="E438" i="4"/>
  <c r="D438" i="4"/>
  <c r="C438" i="4"/>
  <c r="B438" i="4"/>
  <c r="F437" i="4"/>
  <c r="E437" i="4"/>
  <c r="D437" i="4"/>
  <c r="C437" i="4"/>
  <c r="B437" i="4"/>
  <c r="E436" i="4"/>
  <c r="D436" i="4"/>
  <c r="C436" i="4"/>
  <c r="B436" i="4"/>
  <c r="E435" i="4"/>
  <c r="D435" i="4"/>
  <c r="C435" i="4"/>
  <c r="B435" i="4"/>
  <c r="B434" i="4"/>
  <c r="E432" i="4"/>
  <c r="E441" i="4" s="1"/>
  <c r="D432" i="4"/>
  <c r="D441" i="4" s="1"/>
  <c r="C432" i="4"/>
  <c r="B432" i="4"/>
  <c r="B441" i="4" s="1"/>
  <c r="F431" i="4"/>
  <c r="F430" i="4"/>
  <c r="F432" i="4" s="1"/>
  <c r="F441" i="4" s="1"/>
  <c r="F429" i="4"/>
  <c r="F428" i="4"/>
  <c r="F427" i="4"/>
  <c r="F436" i="4" s="1"/>
  <c r="F426" i="4"/>
  <c r="F425" i="4"/>
  <c r="F434" i="4" s="1"/>
  <c r="E425" i="4"/>
  <c r="E434" i="4" s="1"/>
  <c r="D425" i="4"/>
  <c r="D434" i="4" s="1"/>
  <c r="C425" i="4"/>
  <c r="C434" i="4" s="1"/>
  <c r="B425" i="4"/>
  <c r="F423" i="4"/>
  <c r="E423" i="4"/>
  <c r="D423" i="4"/>
  <c r="C423" i="4"/>
  <c r="B423" i="4"/>
  <c r="F422" i="4"/>
  <c r="F421" i="4"/>
  <c r="F420" i="4"/>
  <c r="F438" i="4" s="1"/>
  <c r="F419" i="4"/>
  <c r="F418" i="4"/>
  <c r="F417" i="4"/>
  <c r="F435" i="4" s="1"/>
  <c r="F408" i="4"/>
  <c r="D406" i="4"/>
  <c r="E405" i="4"/>
  <c r="D405" i="4"/>
  <c r="C405" i="4"/>
  <c r="B405" i="4"/>
  <c r="E404" i="4"/>
  <c r="D404" i="4"/>
  <c r="C404" i="4"/>
  <c r="B404" i="4"/>
  <c r="E403" i="4"/>
  <c r="D403" i="4"/>
  <c r="C403" i="4"/>
  <c r="B403" i="4"/>
  <c r="E402" i="4"/>
  <c r="D402" i="4"/>
  <c r="C402" i="4"/>
  <c r="B402" i="4"/>
  <c r="E401" i="4"/>
  <c r="D401" i="4"/>
  <c r="C401" i="4"/>
  <c r="B401" i="4"/>
  <c r="E400" i="4"/>
  <c r="D400" i="4"/>
  <c r="C400" i="4"/>
  <c r="B400" i="4"/>
  <c r="F399" i="4"/>
  <c r="E399" i="4"/>
  <c r="D399" i="4"/>
  <c r="C399" i="4"/>
  <c r="E397" i="4"/>
  <c r="D397" i="4"/>
  <c r="C397" i="4"/>
  <c r="C406" i="4" s="1"/>
  <c r="B397" i="4"/>
  <c r="B406" i="4" s="1"/>
  <c r="F396" i="4"/>
  <c r="F405" i="4" s="1"/>
  <c r="F395" i="4"/>
  <c r="F404" i="4" s="1"/>
  <c r="F394" i="4"/>
  <c r="F403" i="4" s="1"/>
  <c r="F393" i="4"/>
  <c r="F402" i="4" s="1"/>
  <c r="F392" i="4"/>
  <c r="F401" i="4" s="1"/>
  <c r="F391" i="4"/>
  <c r="F390" i="4"/>
  <c r="E390" i="4"/>
  <c r="D390" i="4"/>
  <c r="C390" i="4"/>
  <c r="B390" i="4"/>
  <c r="B399" i="4" s="1"/>
  <c r="E388" i="4"/>
  <c r="E406" i="4" s="1"/>
  <c r="D388" i="4"/>
  <c r="C388" i="4"/>
  <c r="B388" i="4"/>
  <c r="F387" i="4"/>
  <c r="F386" i="4"/>
  <c r="F388" i="4" s="1"/>
  <c r="F385" i="4"/>
  <c r="F384" i="4"/>
  <c r="F383" i="4"/>
  <c r="F382" i="4"/>
  <c r="F374" i="4"/>
  <c r="E372" i="4"/>
  <c r="E371" i="4"/>
  <c r="D371" i="4"/>
  <c r="C371" i="4"/>
  <c r="B371" i="4"/>
  <c r="E370" i="4"/>
  <c r="D370" i="4"/>
  <c r="C370" i="4"/>
  <c r="B370" i="4"/>
  <c r="E369" i="4"/>
  <c r="D369" i="4"/>
  <c r="C369" i="4"/>
  <c r="B369" i="4"/>
  <c r="E368" i="4"/>
  <c r="D368" i="4"/>
  <c r="C368" i="4"/>
  <c r="B368" i="4"/>
  <c r="E367" i="4"/>
  <c r="D367" i="4"/>
  <c r="C367" i="4"/>
  <c r="B367" i="4"/>
  <c r="F366" i="4"/>
  <c r="E364" i="4"/>
  <c r="D364" i="4"/>
  <c r="D372" i="4" s="1"/>
  <c r="C364" i="4"/>
  <c r="C372" i="4" s="1"/>
  <c r="B364" i="4"/>
  <c r="F363" i="4"/>
  <c r="F371" i="4" s="1"/>
  <c r="F362" i="4"/>
  <c r="F370" i="4" s="1"/>
  <c r="F361" i="4"/>
  <c r="F360" i="4"/>
  <c r="F359" i="4"/>
  <c r="F358" i="4"/>
  <c r="E358" i="4"/>
  <c r="E366" i="4" s="1"/>
  <c r="D358" i="4"/>
  <c r="D366" i="4" s="1"/>
  <c r="C358" i="4"/>
  <c r="C366" i="4" s="1"/>
  <c r="B358" i="4"/>
  <c r="B366" i="4" s="1"/>
  <c r="E356" i="4"/>
  <c r="D356" i="4"/>
  <c r="C356" i="4"/>
  <c r="B356" i="4"/>
  <c r="B372" i="4" s="1"/>
  <c r="F355" i="4"/>
  <c r="F354" i="4"/>
  <c r="F353" i="4"/>
  <c r="F352" i="4"/>
  <c r="F368" i="4" s="1"/>
  <c r="F351" i="4"/>
  <c r="F367" i="4" s="1"/>
  <c r="E342" i="4"/>
  <c r="E341" i="4"/>
  <c r="D341" i="4"/>
  <c r="C341" i="4"/>
  <c r="B341" i="4"/>
  <c r="E340" i="4"/>
  <c r="D340" i="4"/>
  <c r="C340" i="4"/>
  <c r="B340" i="4"/>
  <c r="E339" i="4"/>
  <c r="D339" i="4"/>
  <c r="C339" i="4"/>
  <c r="B339" i="4"/>
  <c r="E338" i="4"/>
  <c r="D338" i="4"/>
  <c r="C338" i="4"/>
  <c r="B338" i="4"/>
  <c r="E337" i="4"/>
  <c r="D337" i="4"/>
  <c r="C337" i="4"/>
  <c r="B337" i="4"/>
  <c r="F336" i="4"/>
  <c r="E334" i="4"/>
  <c r="D334" i="4"/>
  <c r="D342" i="4" s="1"/>
  <c r="C334" i="4"/>
  <c r="C342" i="4" s="1"/>
  <c r="B334" i="4"/>
  <c r="F333" i="4"/>
  <c r="F341" i="4" s="1"/>
  <c r="F332" i="4"/>
  <c r="F340" i="4" s="1"/>
  <c r="F331" i="4"/>
  <c r="F330" i="4"/>
  <c r="F338" i="4" s="1"/>
  <c r="F329" i="4"/>
  <c r="F328" i="4"/>
  <c r="E328" i="4"/>
  <c r="E336" i="4" s="1"/>
  <c r="D328" i="4"/>
  <c r="D336" i="4" s="1"/>
  <c r="C328" i="4"/>
  <c r="C336" i="4" s="1"/>
  <c r="B328" i="4"/>
  <c r="B336" i="4" s="1"/>
  <c r="E326" i="4"/>
  <c r="D326" i="4"/>
  <c r="C326" i="4"/>
  <c r="B326" i="4"/>
  <c r="B342" i="4" s="1"/>
  <c r="F325" i="4"/>
  <c r="F324" i="4"/>
  <c r="F323" i="4"/>
  <c r="F322" i="4"/>
  <c r="F321" i="4"/>
  <c r="F337" i="4" s="1"/>
  <c r="F314" i="4"/>
  <c r="C312" i="4"/>
  <c r="F311" i="4"/>
  <c r="E311" i="4"/>
  <c r="D311" i="4"/>
  <c r="C311" i="4"/>
  <c r="B311" i="4"/>
  <c r="D310" i="4"/>
  <c r="C310" i="4"/>
  <c r="B310" i="4"/>
  <c r="F309" i="4"/>
  <c r="E309" i="4"/>
  <c r="D309" i="4"/>
  <c r="C309" i="4"/>
  <c r="B309" i="4"/>
  <c r="E308" i="4"/>
  <c r="D308" i="4"/>
  <c r="C308" i="4"/>
  <c r="B308" i="4"/>
  <c r="F307" i="4"/>
  <c r="E307" i="4"/>
  <c r="D307" i="4"/>
  <c r="C307" i="4"/>
  <c r="B307" i="4"/>
  <c r="D304" i="4"/>
  <c r="C304" i="4"/>
  <c r="B304" i="4"/>
  <c r="B312" i="4" s="1"/>
  <c r="F303" i="4"/>
  <c r="E302" i="4"/>
  <c r="D302" i="4"/>
  <c r="F301" i="4"/>
  <c r="F300" i="4"/>
  <c r="F308" i="4" s="1"/>
  <c r="F299" i="4"/>
  <c r="F298" i="4"/>
  <c r="F306" i="4" s="1"/>
  <c r="E298" i="4"/>
  <c r="D298" i="4"/>
  <c r="D306" i="4" s="1"/>
  <c r="C298" i="4"/>
  <c r="C306" i="4" s="1"/>
  <c r="B298" i="4"/>
  <c r="B306" i="4" s="1"/>
  <c r="D296" i="4"/>
  <c r="C296" i="4"/>
  <c r="B296" i="4"/>
  <c r="F295" i="4"/>
  <c r="E294" i="4"/>
  <c r="E296" i="4" s="1"/>
  <c r="D294" i="4"/>
  <c r="F294" i="4" s="1"/>
  <c r="F296" i="4" s="1"/>
  <c r="F293" i="4"/>
  <c r="F292" i="4"/>
  <c r="F291" i="4"/>
  <c r="F283" i="4"/>
  <c r="E281" i="4"/>
  <c r="E280" i="4"/>
  <c r="D280" i="4"/>
  <c r="C280" i="4"/>
  <c r="B280" i="4"/>
  <c r="E279" i="4"/>
  <c r="C279" i="4"/>
  <c r="B279" i="4"/>
  <c r="E278" i="4"/>
  <c r="D278" i="4"/>
  <c r="C278" i="4"/>
  <c r="B278" i="4"/>
  <c r="F277" i="4"/>
  <c r="E277" i="4"/>
  <c r="D277" i="4"/>
  <c r="C277" i="4"/>
  <c r="B277" i="4"/>
  <c r="F276" i="4"/>
  <c r="E276" i="4"/>
  <c r="D276" i="4"/>
  <c r="C276" i="4"/>
  <c r="B276" i="4"/>
  <c r="F275" i="4"/>
  <c r="D275" i="4"/>
  <c r="C275" i="4"/>
  <c r="B275" i="4"/>
  <c r="D273" i="4"/>
  <c r="B273" i="4"/>
  <c r="B281" i="4" s="1"/>
  <c r="F272" i="4"/>
  <c r="E271" i="4"/>
  <c r="E273" i="4" s="1"/>
  <c r="D271" i="4"/>
  <c r="C271" i="4"/>
  <c r="C273" i="4" s="1"/>
  <c r="C281" i="4" s="1"/>
  <c r="F270" i="4"/>
  <c r="F278" i="4" s="1"/>
  <c r="F269" i="4"/>
  <c r="F268" i="4"/>
  <c r="F267" i="4"/>
  <c r="E267" i="4"/>
  <c r="E275" i="4" s="1"/>
  <c r="D267" i="4"/>
  <c r="C267" i="4"/>
  <c r="B267" i="4"/>
  <c r="E265" i="4"/>
  <c r="C265" i="4"/>
  <c r="B265" i="4"/>
  <c r="F264" i="4"/>
  <c r="F280" i="4" s="1"/>
  <c r="E263" i="4"/>
  <c r="D263" i="4"/>
  <c r="C263" i="4"/>
  <c r="F262" i="4"/>
  <c r="F261" i="4"/>
  <c r="F260" i="4"/>
  <c r="F252" i="4"/>
  <c r="E250" i="4"/>
  <c r="E249" i="4"/>
  <c r="D249" i="4"/>
  <c r="C249" i="4"/>
  <c r="B249" i="4"/>
  <c r="E248" i="4"/>
  <c r="D248" i="4"/>
  <c r="B248" i="4"/>
  <c r="E247" i="4"/>
  <c r="D247" i="4"/>
  <c r="C247" i="4"/>
  <c r="B247" i="4"/>
  <c r="E246" i="4"/>
  <c r="D246" i="4"/>
  <c r="C246" i="4"/>
  <c r="B246" i="4"/>
  <c r="F245" i="4"/>
  <c r="E245" i="4"/>
  <c r="D245" i="4"/>
  <c r="C245" i="4"/>
  <c r="B245" i="4"/>
  <c r="F244" i="4"/>
  <c r="E242" i="4"/>
  <c r="D242" i="4"/>
  <c r="D250" i="4" s="1"/>
  <c r="B242" i="4"/>
  <c r="F241" i="4"/>
  <c r="F249" i="4" s="1"/>
  <c r="C240" i="4"/>
  <c r="B240" i="4"/>
  <c r="F239" i="4"/>
  <c r="F238" i="4"/>
  <c r="F246" i="4" s="1"/>
  <c r="F237" i="4"/>
  <c r="F236" i="4"/>
  <c r="E236" i="4"/>
  <c r="E244" i="4" s="1"/>
  <c r="D236" i="4"/>
  <c r="D244" i="4" s="1"/>
  <c r="C236" i="4"/>
  <c r="C244" i="4" s="1"/>
  <c r="B236" i="4"/>
  <c r="B244" i="4" s="1"/>
  <c r="E234" i="4"/>
  <c r="D234" i="4"/>
  <c r="F233" i="4"/>
  <c r="C232" i="4"/>
  <c r="C234" i="4" s="1"/>
  <c r="B232" i="4"/>
  <c r="B234" i="4" s="1"/>
  <c r="B250" i="4" s="1"/>
  <c r="F231" i="4"/>
  <c r="F247" i="4" s="1"/>
  <c r="F230" i="4"/>
  <c r="F229" i="4"/>
  <c r="F220" i="4"/>
  <c r="E218" i="4"/>
  <c r="E217" i="4"/>
  <c r="D217" i="4"/>
  <c r="C217" i="4"/>
  <c r="B217" i="4"/>
  <c r="E216" i="4"/>
  <c r="D216" i="4"/>
  <c r="C216" i="4"/>
  <c r="B216" i="4"/>
  <c r="E215" i="4"/>
  <c r="D215" i="4"/>
  <c r="C215" i="4"/>
  <c r="B215" i="4"/>
  <c r="F214" i="4"/>
  <c r="E214" i="4"/>
  <c r="D214" i="4"/>
  <c r="C214" i="4"/>
  <c r="B214" i="4"/>
  <c r="F213" i="4"/>
  <c r="E213" i="4"/>
  <c r="D213" i="4"/>
  <c r="C213" i="4"/>
  <c r="B213" i="4"/>
  <c r="F212" i="4"/>
  <c r="C212" i="4"/>
  <c r="F210" i="4"/>
  <c r="E210" i="4"/>
  <c r="D210" i="4"/>
  <c r="D218" i="4" s="1"/>
  <c r="C210" i="4"/>
  <c r="C218" i="4" s="1"/>
  <c r="B210" i="4"/>
  <c r="B218" i="4" s="1"/>
  <c r="F209" i="4"/>
  <c r="F208" i="4"/>
  <c r="F207" i="4"/>
  <c r="F215" i="4" s="1"/>
  <c r="F206" i="4"/>
  <c r="F205" i="4"/>
  <c r="F204" i="4"/>
  <c r="E204" i="4"/>
  <c r="E212" i="4" s="1"/>
  <c r="D204" i="4"/>
  <c r="D212" i="4" s="1"/>
  <c r="C204" i="4"/>
  <c r="B204" i="4"/>
  <c r="B212" i="4" s="1"/>
  <c r="E202" i="4"/>
  <c r="D202" i="4"/>
  <c r="C202" i="4"/>
  <c r="B202" i="4"/>
  <c r="F201" i="4"/>
  <c r="F217" i="4" s="1"/>
  <c r="F200" i="4"/>
  <c r="F216" i="4" s="1"/>
  <c r="F199" i="4"/>
  <c r="F198" i="4"/>
  <c r="F197" i="4"/>
  <c r="F202" i="4" s="1"/>
  <c r="E188" i="4"/>
  <c r="F188" i="4" s="1"/>
  <c r="B186" i="4"/>
  <c r="E185" i="4"/>
  <c r="D185" i="4"/>
  <c r="C185" i="4"/>
  <c r="B185" i="4"/>
  <c r="D184" i="4"/>
  <c r="B184" i="4"/>
  <c r="E183" i="4"/>
  <c r="D183" i="4"/>
  <c r="C183" i="4"/>
  <c r="B183" i="4"/>
  <c r="E182" i="4"/>
  <c r="D182" i="4"/>
  <c r="C182" i="4"/>
  <c r="B182" i="4"/>
  <c r="E181" i="4"/>
  <c r="D181" i="4"/>
  <c r="C181" i="4"/>
  <c r="B181" i="4"/>
  <c r="E180" i="4"/>
  <c r="D180" i="4"/>
  <c r="C180" i="4"/>
  <c r="B180" i="4"/>
  <c r="D178" i="4"/>
  <c r="D186" i="4" s="1"/>
  <c r="B178" i="4"/>
  <c r="F177" i="4"/>
  <c r="F185" i="4" s="1"/>
  <c r="E176" i="4"/>
  <c r="E178" i="4" s="1"/>
  <c r="C176" i="4"/>
  <c r="C178" i="4" s="1"/>
  <c r="C186" i="4" s="1"/>
  <c r="F175" i="4"/>
  <c r="F183" i="4" s="1"/>
  <c r="F174" i="4"/>
  <c r="F182" i="4" s="1"/>
  <c r="F173" i="4"/>
  <c r="F181" i="4" s="1"/>
  <c r="F172" i="4"/>
  <c r="F180" i="4" s="1"/>
  <c r="E172" i="4"/>
  <c r="D172" i="4"/>
  <c r="C172" i="4"/>
  <c r="B172" i="4"/>
  <c r="D170" i="4"/>
  <c r="C170" i="4"/>
  <c r="B170" i="4"/>
  <c r="F169" i="4"/>
  <c r="E168" i="4"/>
  <c r="C168" i="4"/>
  <c r="C184" i="4" s="1"/>
  <c r="F167" i="4"/>
  <c r="F166" i="4"/>
  <c r="F165" i="4"/>
  <c r="F155" i="4"/>
  <c r="C155" i="4"/>
  <c r="C152" i="4"/>
  <c r="B152" i="4"/>
  <c r="E151" i="4"/>
  <c r="E150" i="4"/>
  <c r="C150" i="4"/>
  <c r="B150" i="4"/>
  <c r="F149" i="4"/>
  <c r="E149" i="4"/>
  <c r="C149" i="4"/>
  <c r="B149" i="4"/>
  <c r="E148" i="4"/>
  <c r="C148" i="4"/>
  <c r="B148" i="4"/>
  <c r="E147" i="4"/>
  <c r="D147" i="4"/>
  <c r="B147" i="4"/>
  <c r="D145" i="4"/>
  <c r="B145" i="4"/>
  <c r="B153" i="4" s="1"/>
  <c r="E144" i="4"/>
  <c r="F144" i="4" s="1"/>
  <c r="E143" i="4"/>
  <c r="C143" i="4"/>
  <c r="C145" i="4" s="1"/>
  <c r="C153" i="4" s="1"/>
  <c r="B143" i="4"/>
  <c r="F142" i="4"/>
  <c r="F150" i="4" s="1"/>
  <c r="E142" i="4"/>
  <c r="F141" i="4"/>
  <c r="E140" i="4"/>
  <c r="E145" i="4" s="1"/>
  <c r="E153" i="4" s="1"/>
  <c r="F139" i="4"/>
  <c r="F147" i="4" s="1"/>
  <c r="E139" i="4"/>
  <c r="D139" i="4"/>
  <c r="C139" i="4"/>
  <c r="C147" i="4" s="1"/>
  <c r="B139" i="4"/>
  <c r="E137" i="4"/>
  <c r="D137" i="4"/>
  <c r="D153" i="4" s="1"/>
  <c r="E136" i="4"/>
  <c r="E152" i="4" s="1"/>
  <c r="F135" i="4"/>
  <c r="E135" i="4"/>
  <c r="C135" i="4"/>
  <c r="C137" i="4" s="1"/>
  <c r="B135" i="4"/>
  <c r="B137" i="4" s="1"/>
  <c r="F134" i="4"/>
  <c r="F133" i="4"/>
  <c r="F132" i="4"/>
  <c r="D46" i="4"/>
  <c r="D45" i="4"/>
  <c r="D44" i="4"/>
  <c r="B44" i="4"/>
  <c r="B43" i="4"/>
  <c r="B42" i="4"/>
  <c r="E39" i="4"/>
  <c r="B39" i="4"/>
  <c r="E38" i="4"/>
  <c r="D38" i="4"/>
  <c r="C38" i="4"/>
  <c r="B38" i="4"/>
  <c r="F38" i="4" s="1"/>
  <c r="E37" i="4"/>
  <c r="D37" i="4"/>
  <c r="C37" i="4"/>
  <c r="F37" i="4" s="1"/>
  <c r="B37" i="4"/>
  <c r="E36" i="4"/>
  <c r="D36" i="4"/>
  <c r="C36" i="4"/>
  <c r="B36" i="4"/>
  <c r="F36" i="4" s="1"/>
  <c r="E35" i="4"/>
  <c r="D35" i="4"/>
  <c r="C35" i="4"/>
  <c r="F35" i="4" s="1"/>
  <c r="B35" i="4"/>
  <c r="F34" i="4"/>
  <c r="E34" i="4"/>
  <c r="D34" i="4"/>
  <c r="C34" i="4"/>
  <c r="B34" i="4"/>
  <c r="F33" i="4"/>
  <c r="E33" i="4"/>
  <c r="D33" i="4"/>
  <c r="D39" i="4" s="1"/>
  <c r="C33" i="4"/>
  <c r="B33" i="4"/>
  <c r="D30" i="4"/>
  <c r="E29" i="4"/>
  <c r="D29" i="4"/>
  <c r="F29" i="4" s="1"/>
  <c r="C29" i="4"/>
  <c r="B29" i="4"/>
  <c r="E28" i="4"/>
  <c r="D28" i="4"/>
  <c r="C28" i="4"/>
  <c r="B28" i="4"/>
  <c r="F28" i="4" s="1"/>
  <c r="E27" i="4"/>
  <c r="D27" i="4"/>
  <c r="C27" i="4"/>
  <c r="B27" i="4"/>
  <c r="F27" i="4" s="1"/>
  <c r="E26" i="4"/>
  <c r="D26" i="4"/>
  <c r="C26" i="4"/>
  <c r="B26" i="4"/>
  <c r="F26" i="4" s="1"/>
  <c r="E25" i="4"/>
  <c r="D25" i="4"/>
  <c r="C25" i="4"/>
  <c r="B25" i="4"/>
  <c r="E24" i="4"/>
  <c r="D24" i="4"/>
  <c r="C24" i="4"/>
  <c r="C30" i="4" s="1"/>
  <c r="B24" i="4"/>
  <c r="E21" i="4"/>
  <c r="C21" i="4"/>
  <c r="E20" i="4"/>
  <c r="E47" i="4" s="1"/>
  <c r="D20" i="4"/>
  <c r="C20" i="4"/>
  <c r="C47" i="4" s="1"/>
  <c r="B20" i="4"/>
  <c r="F20" i="4" s="1"/>
  <c r="E19" i="4"/>
  <c r="D19" i="4"/>
  <c r="C19" i="4"/>
  <c r="F19" i="4" s="1"/>
  <c r="B19" i="4"/>
  <c r="F18" i="4"/>
  <c r="E18" i="4"/>
  <c r="D18" i="4"/>
  <c r="C18" i="4"/>
  <c r="C45" i="4" s="1"/>
  <c r="B18" i="4"/>
  <c r="F17" i="4"/>
  <c r="E17" i="4"/>
  <c r="D17" i="4"/>
  <c r="C17" i="4"/>
  <c r="B17" i="4"/>
  <c r="E16" i="4"/>
  <c r="D16" i="4"/>
  <c r="C16" i="4"/>
  <c r="B16" i="4"/>
  <c r="E15" i="4"/>
  <c r="D15" i="4"/>
  <c r="F15" i="4" s="1"/>
  <c r="C15" i="4"/>
  <c r="B15" i="4"/>
  <c r="B21" i="4" s="1"/>
  <c r="D12" i="4"/>
  <c r="B12" i="4"/>
  <c r="E11" i="4"/>
  <c r="D11" i="4"/>
  <c r="D47" i="4" s="1"/>
  <c r="C11" i="4"/>
  <c r="B11" i="4"/>
  <c r="F11" i="4" s="1"/>
  <c r="E10" i="4"/>
  <c r="E46" i="4" s="1"/>
  <c r="D10" i="4"/>
  <c r="C10" i="4"/>
  <c r="C46" i="4" s="1"/>
  <c r="B10" i="4"/>
  <c r="B46" i="4" s="1"/>
  <c r="E9" i="4"/>
  <c r="E45" i="4" s="1"/>
  <c r="D9" i="4"/>
  <c r="C9" i="4"/>
  <c r="B9" i="4"/>
  <c r="B45" i="4" s="1"/>
  <c r="E8" i="4"/>
  <c r="E44" i="4" s="1"/>
  <c r="D8" i="4"/>
  <c r="C8" i="4"/>
  <c r="C44" i="4" s="1"/>
  <c r="B8" i="4"/>
  <c r="F8" i="4" s="1"/>
  <c r="E7" i="4"/>
  <c r="D7" i="4"/>
  <c r="C7" i="4"/>
  <c r="B7" i="4"/>
  <c r="E6" i="4"/>
  <c r="E42" i="4" s="1"/>
  <c r="D6" i="4"/>
  <c r="C6" i="4"/>
  <c r="C42" i="4" s="1"/>
  <c r="B6" i="4"/>
  <c r="F6" i="4" s="1"/>
  <c r="E569" i="3"/>
  <c r="C569" i="3"/>
  <c r="B569" i="3"/>
  <c r="F566" i="3"/>
  <c r="E566" i="3"/>
  <c r="D566" i="3"/>
  <c r="C566" i="3"/>
  <c r="B566" i="3"/>
  <c r="F565" i="3"/>
  <c r="F564" i="3"/>
  <c r="F563" i="3"/>
  <c r="F562" i="3"/>
  <c r="F561" i="3"/>
  <c r="F558" i="3"/>
  <c r="F569" i="3" s="1"/>
  <c r="E558" i="3"/>
  <c r="D558" i="3"/>
  <c r="D569" i="3" s="1"/>
  <c r="C558" i="3"/>
  <c r="B558" i="3"/>
  <c r="F557" i="3"/>
  <c r="F556" i="3"/>
  <c r="F555" i="3"/>
  <c r="F554" i="3"/>
  <c r="E546" i="3"/>
  <c r="C546" i="3"/>
  <c r="B546" i="3"/>
  <c r="F543" i="3"/>
  <c r="F546" i="3" s="1"/>
  <c r="E543" i="3"/>
  <c r="D543" i="3"/>
  <c r="C543" i="3"/>
  <c r="B543" i="3"/>
  <c r="F542" i="3"/>
  <c r="F541" i="3"/>
  <c r="F540" i="3"/>
  <c r="F539" i="3"/>
  <c r="F538" i="3"/>
  <c r="E535" i="3"/>
  <c r="D535" i="3"/>
  <c r="D546" i="3" s="1"/>
  <c r="C535" i="3"/>
  <c r="B535" i="3"/>
  <c r="F534" i="3"/>
  <c r="F533" i="3"/>
  <c r="F532" i="3"/>
  <c r="F531" i="3"/>
  <c r="F530" i="3"/>
  <c r="F535" i="3" s="1"/>
  <c r="D522" i="3"/>
  <c r="C522" i="3"/>
  <c r="B522" i="3"/>
  <c r="E519" i="3"/>
  <c r="D519" i="3"/>
  <c r="C519" i="3"/>
  <c r="B519" i="3"/>
  <c r="F518" i="3"/>
  <c r="F517" i="3"/>
  <c r="F516" i="3"/>
  <c r="F515" i="3"/>
  <c r="F514" i="3"/>
  <c r="F519" i="3" s="1"/>
  <c r="F522" i="3" s="1"/>
  <c r="E511" i="3"/>
  <c r="E522" i="3" s="1"/>
  <c r="D511" i="3"/>
  <c r="C511" i="3"/>
  <c r="B511" i="3"/>
  <c r="F510" i="3"/>
  <c r="F509" i="3"/>
  <c r="F508" i="3"/>
  <c r="F507" i="3"/>
  <c r="F506" i="3"/>
  <c r="F511" i="3" s="1"/>
  <c r="E498" i="3"/>
  <c r="C498" i="3"/>
  <c r="E495" i="3"/>
  <c r="D495" i="3"/>
  <c r="C495" i="3"/>
  <c r="B495" i="3"/>
  <c r="B498" i="3" s="1"/>
  <c r="F494" i="3"/>
  <c r="F493" i="3"/>
  <c r="F492" i="3"/>
  <c r="F491" i="3"/>
  <c r="F490" i="3"/>
  <c r="F489" i="3"/>
  <c r="F495" i="3" s="1"/>
  <c r="E486" i="3"/>
  <c r="D486" i="3"/>
  <c r="D498" i="3" s="1"/>
  <c r="C486" i="3"/>
  <c r="B486" i="3"/>
  <c r="F485" i="3"/>
  <c r="F484" i="3"/>
  <c r="F483" i="3"/>
  <c r="F482" i="3"/>
  <c r="F486" i="3" s="1"/>
  <c r="D474" i="3"/>
  <c r="E471" i="3"/>
  <c r="D471" i="3"/>
  <c r="C471" i="3"/>
  <c r="C474" i="3" s="1"/>
  <c r="B471" i="3"/>
  <c r="B474" i="3" s="1"/>
  <c r="F470" i="3"/>
  <c r="F469" i="3"/>
  <c r="F468" i="3"/>
  <c r="F471" i="3" s="1"/>
  <c r="F474" i="3" s="1"/>
  <c r="F467" i="3"/>
  <c r="F466" i="3"/>
  <c r="F465" i="3"/>
  <c r="F464" i="3"/>
  <c r="F463" i="3"/>
  <c r="F473" i="3" s="1"/>
  <c r="E463" i="3"/>
  <c r="E473" i="3" s="1"/>
  <c r="E460" i="3"/>
  <c r="E474" i="3" s="1"/>
  <c r="D460" i="3"/>
  <c r="C460" i="3"/>
  <c r="B460" i="3"/>
  <c r="F459" i="3"/>
  <c r="F460" i="3" s="1"/>
  <c r="F458" i="3"/>
  <c r="F457" i="3"/>
  <c r="F456" i="3"/>
  <c r="E447" i="3"/>
  <c r="C447" i="3"/>
  <c r="E446" i="3"/>
  <c r="C446" i="3"/>
  <c r="E444" i="3"/>
  <c r="D444" i="3"/>
  <c r="C444" i="3"/>
  <c r="B444" i="3"/>
  <c r="F443" i="3"/>
  <c r="F442" i="3"/>
  <c r="F441" i="3"/>
  <c r="F440" i="3"/>
  <c r="F439" i="3"/>
  <c r="F438" i="3"/>
  <c r="F437" i="3"/>
  <c r="F436" i="3"/>
  <c r="F435" i="3"/>
  <c r="F446" i="3" s="1"/>
  <c r="E435" i="3"/>
  <c r="D435" i="3"/>
  <c r="D446" i="3" s="1"/>
  <c r="C435" i="3"/>
  <c r="B435" i="3"/>
  <c r="B446" i="3" s="1"/>
  <c r="E432" i="3"/>
  <c r="D432" i="3"/>
  <c r="D447" i="3" s="1"/>
  <c r="C432" i="3"/>
  <c r="B432" i="3"/>
  <c r="B447" i="3" s="1"/>
  <c r="F431" i="3"/>
  <c r="F430" i="3"/>
  <c r="F429" i="3"/>
  <c r="F432" i="3" s="1"/>
  <c r="F428" i="3"/>
  <c r="D418" i="3"/>
  <c r="C418" i="3"/>
  <c r="F417" i="3"/>
  <c r="E417" i="3"/>
  <c r="D417" i="3"/>
  <c r="E415" i="3"/>
  <c r="D415" i="3"/>
  <c r="C415" i="3"/>
  <c r="B415" i="3"/>
  <c r="B418" i="3" s="1"/>
  <c r="F414" i="3"/>
  <c r="F413" i="3"/>
  <c r="F412" i="3"/>
  <c r="F411" i="3"/>
  <c r="F410" i="3"/>
  <c r="F415" i="3" s="1"/>
  <c r="F409" i="3"/>
  <c r="F408" i="3"/>
  <c r="F407" i="3"/>
  <c r="E407" i="3"/>
  <c r="D407" i="3"/>
  <c r="C407" i="3"/>
  <c r="C417" i="3" s="1"/>
  <c r="B407" i="3"/>
  <c r="B417" i="3" s="1"/>
  <c r="E404" i="3"/>
  <c r="E418" i="3" s="1"/>
  <c r="D404" i="3"/>
  <c r="C404" i="3"/>
  <c r="B404" i="3"/>
  <c r="F403" i="3"/>
  <c r="F402" i="3"/>
  <c r="F401" i="3"/>
  <c r="F404" i="3" s="1"/>
  <c r="F400" i="3"/>
  <c r="F399" i="3"/>
  <c r="E392" i="3"/>
  <c r="D392" i="3"/>
  <c r="B392" i="3"/>
  <c r="F391" i="3"/>
  <c r="E391" i="3"/>
  <c r="B391" i="3"/>
  <c r="E389" i="3"/>
  <c r="D389" i="3"/>
  <c r="C389" i="3"/>
  <c r="C392" i="3" s="1"/>
  <c r="B389" i="3"/>
  <c r="F388" i="3"/>
  <c r="F387" i="3"/>
  <c r="F386" i="3"/>
  <c r="F385" i="3"/>
  <c r="F384" i="3"/>
  <c r="F383" i="3"/>
  <c r="F382" i="3"/>
  <c r="F381" i="3"/>
  <c r="E381" i="3"/>
  <c r="D381" i="3"/>
  <c r="D391" i="3" s="1"/>
  <c r="C381" i="3"/>
  <c r="C391" i="3" s="1"/>
  <c r="B381" i="3"/>
  <c r="E378" i="3"/>
  <c r="D378" i="3"/>
  <c r="C378" i="3"/>
  <c r="B378" i="3"/>
  <c r="F377" i="3"/>
  <c r="F376" i="3"/>
  <c r="F375" i="3"/>
  <c r="F374" i="3"/>
  <c r="F373" i="3"/>
  <c r="F372" i="3"/>
  <c r="F378" i="3" s="1"/>
  <c r="F365" i="3"/>
  <c r="F364" i="3"/>
  <c r="F363" i="3"/>
  <c r="F362" i="3"/>
  <c r="E362" i="3"/>
  <c r="D362" i="3"/>
  <c r="C362" i="3"/>
  <c r="B362" i="3"/>
  <c r="E360" i="3"/>
  <c r="C360" i="3"/>
  <c r="B360" i="3"/>
  <c r="F359" i="3"/>
  <c r="E359" i="3"/>
  <c r="D359" i="3"/>
  <c r="C359" i="3"/>
  <c r="E357" i="3"/>
  <c r="D357" i="3"/>
  <c r="C357" i="3"/>
  <c r="B357" i="3"/>
  <c r="F356" i="3"/>
  <c r="F355" i="3"/>
  <c r="F354" i="3"/>
  <c r="F353" i="3"/>
  <c r="F352" i="3"/>
  <c r="F351" i="3"/>
  <c r="F350" i="3"/>
  <c r="F349" i="3"/>
  <c r="E349" i="3"/>
  <c r="D349" i="3"/>
  <c r="C349" i="3"/>
  <c r="B349" i="3"/>
  <c r="B359" i="3" s="1"/>
  <c r="E346" i="3"/>
  <c r="D346" i="3"/>
  <c r="D360" i="3" s="1"/>
  <c r="C346" i="3"/>
  <c r="B346" i="3"/>
  <c r="F345" i="3"/>
  <c r="F346" i="3" s="1"/>
  <c r="F344" i="3"/>
  <c r="F343" i="3"/>
  <c r="F342" i="3"/>
  <c r="F341" i="3"/>
  <c r="F340" i="3"/>
  <c r="F333" i="3"/>
  <c r="F332" i="3"/>
  <c r="F331" i="3"/>
  <c r="F330" i="3"/>
  <c r="F329" i="3"/>
  <c r="E329" i="3"/>
  <c r="D329" i="3"/>
  <c r="C329" i="3"/>
  <c r="B329" i="3"/>
  <c r="D327" i="3"/>
  <c r="B327" i="3"/>
  <c r="F326" i="3"/>
  <c r="E326" i="3"/>
  <c r="D326" i="3"/>
  <c r="C326" i="3"/>
  <c r="B326" i="3"/>
  <c r="E324" i="3"/>
  <c r="D324" i="3"/>
  <c r="C324" i="3"/>
  <c r="B324" i="3"/>
  <c r="F323" i="3"/>
  <c r="F322" i="3"/>
  <c r="F321" i="3"/>
  <c r="F320" i="3"/>
  <c r="F319" i="3"/>
  <c r="F318" i="3"/>
  <c r="F317" i="3"/>
  <c r="F316" i="3"/>
  <c r="E316" i="3"/>
  <c r="D316" i="3"/>
  <c r="C316" i="3"/>
  <c r="B316" i="3"/>
  <c r="E313" i="3"/>
  <c r="E327" i="3" s="1"/>
  <c r="D313" i="3"/>
  <c r="C313" i="3"/>
  <c r="C327" i="3" s="1"/>
  <c r="B313" i="3"/>
  <c r="F312" i="3"/>
  <c r="F311" i="3"/>
  <c r="F310" i="3"/>
  <c r="F309" i="3"/>
  <c r="F308" i="3"/>
  <c r="F307" i="3"/>
  <c r="F306" i="3"/>
  <c r="F313" i="3" s="1"/>
  <c r="F297" i="3"/>
  <c r="F296" i="3"/>
  <c r="F295" i="3"/>
  <c r="F294" i="3"/>
  <c r="F293" i="3"/>
  <c r="F292" i="3"/>
  <c r="E292" i="3"/>
  <c r="D292" i="3"/>
  <c r="C292" i="3"/>
  <c r="B292" i="3"/>
  <c r="E290" i="3"/>
  <c r="C290" i="3"/>
  <c r="E289" i="3"/>
  <c r="C289" i="3"/>
  <c r="E287" i="3"/>
  <c r="D287" i="3"/>
  <c r="C287" i="3"/>
  <c r="B287" i="3"/>
  <c r="F286" i="3"/>
  <c r="F285" i="3"/>
  <c r="F284" i="3"/>
  <c r="F283" i="3"/>
  <c r="F282" i="3"/>
  <c r="F281" i="3"/>
  <c r="F280" i="3"/>
  <c r="F279" i="3"/>
  <c r="F278" i="3"/>
  <c r="F289" i="3" s="1"/>
  <c r="E278" i="3"/>
  <c r="D278" i="3"/>
  <c r="D289" i="3" s="1"/>
  <c r="C278" i="3"/>
  <c r="B278" i="3"/>
  <c r="B289" i="3" s="1"/>
  <c r="E275" i="3"/>
  <c r="D275" i="3"/>
  <c r="D290" i="3" s="1"/>
  <c r="C275" i="3"/>
  <c r="B275" i="3"/>
  <c r="B290" i="3" s="1"/>
  <c r="F274" i="3"/>
  <c r="F273" i="3"/>
  <c r="F272" i="3"/>
  <c r="F271" i="3"/>
  <c r="F270" i="3"/>
  <c r="F269" i="3"/>
  <c r="F268" i="3"/>
  <c r="F267" i="3"/>
  <c r="F259" i="3"/>
  <c r="F258" i="3"/>
  <c r="F257" i="3"/>
  <c r="F256" i="3"/>
  <c r="F255" i="3"/>
  <c r="F254" i="3"/>
  <c r="E254" i="3"/>
  <c r="D254" i="3"/>
  <c r="C254" i="3"/>
  <c r="B254" i="3"/>
  <c r="C252" i="3"/>
  <c r="F251" i="3"/>
  <c r="C251" i="3"/>
  <c r="E249" i="3"/>
  <c r="D249" i="3"/>
  <c r="D252" i="3" s="1"/>
  <c r="C249" i="3"/>
  <c r="B249" i="3"/>
  <c r="F248" i="3"/>
  <c r="F247" i="3"/>
  <c r="F246" i="3"/>
  <c r="F245" i="3"/>
  <c r="F244" i="3"/>
  <c r="F243" i="3"/>
  <c r="F242" i="3"/>
  <c r="F241" i="3"/>
  <c r="F240" i="3"/>
  <c r="E240" i="3"/>
  <c r="E251" i="3" s="1"/>
  <c r="D240" i="3"/>
  <c r="D251" i="3" s="1"/>
  <c r="C240" i="3"/>
  <c r="B240" i="3"/>
  <c r="B251" i="3" s="1"/>
  <c r="E237" i="3"/>
  <c r="E252" i="3" s="1"/>
  <c r="D237" i="3"/>
  <c r="C237" i="3"/>
  <c r="B237" i="3"/>
  <c r="B252" i="3" s="1"/>
  <c r="F236" i="3"/>
  <c r="F235" i="3"/>
  <c r="F234" i="3"/>
  <c r="F233" i="3"/>
  <c r="F232" i="3"/>
  <c r="F231" i="3"/>
  <c r="F230" i="3"/>
  <c r="F229" i="3"/>
  <c r="F237" i="3" s="1"/>
  <c r="F221" i="3"/>
  <c r="F220" i="3"/>
  <c r="F219" i="3"/>
  <c r="F218" i="3"/>
  <c r="F217" i="3"/>
  <c r="F216" i="3"/>
  <c r="E216" i="3"/>
  <c r="D216" i="3"/>
  <c r="C216" i="3"/>
  <c r="B216" i="3"/>
  <c r="D214" i="3"/>
  <c r="F213" i="3"/>
  <c r="B213" i="3"/>
  <c r="E211" i="3"/>
  <c r="E214" i="3" s="1"/>
  <c r="D211" i="3"/>
  <c r="C211" i="3"/>
  <c r="C214" i="3" s="1"/>
  <c r="B211" i="3"/>
  <c r="B214" i="3" s="1"/>
  <c r="F210" i="3"/>
  <c r="F209" i="3"/>
  <c r="F208" i="3"/>
  <c r="F207" i="3"/>
  <c r="F206" i="3"/>
  <c r="F205" i="3"/>
  <c r="F204" i="3"/>
  <c r="F211" i="3" s="1"/>
  <c r="F203" i="3"/>
  <c r="E203" i="3"/>
  <c r="E213" i="3" s="1"/>
  <c r="D203" i="3"/>
  <c r="D213" i="3" s="1"/>
  <c r="C203" i="3"/>
  <c r="C213" i="3" s="1"/>
  <c r="B203" i="3"/>
  <c r="E200" i="3"/>
  <c r="D200" i="3"/>
  <c r="C200" i="3"/>
  <c r="B200" i="3"/>
  <c r="F199" i="3"/>
  <c r="F198" i="3"/>
  <c r="F197" i="3"/>
  <c r="F196" i="3"/>
  <c r="F195" i="3"/>
  <c r="F194" i="3"/>
  <c r="F193" i="3"/>
  <c r="H184" i="3"/>
  <c r="F184" i="3"/>
  <c r="H183" i="3"/>
  <c r="F183" i="3"/>
  <c r="H182" i="3"/>
  <c r="F182" i="3"/>
  <c r="H181" i="3"/>
  <c r="F181" i="3"/>
  <c r="H180" i="3"/>
  <c r="F180" i="3"/>
  <c r="F179" i="3"/>
  <c r="E179" i="3"/>
  <c r="D179" i="3"/>
  <c r="C179" i="3"/>
  <c r="B179" i="3"/>
  <c r="E177" i="3"/>
  <c r="C177" i="3"/>
  <c r="B177" i="3"/>
  <c r="F176" i="3"/>
  <c r="E176" i="3"/>
  <c r="D176" i="3"/>
  <c r="C176" i="3"/>
  <c r="E174" i="3"/>
  <c r="D174" i="3"/>
  <c r="C174" i="3"/>
  <c r="B174" i="3"/>
  <c r="F173" i="3"/>
  <c r="F172" i="3"/>
  <c r="F171" i="3"/>
  <c r="F170" i="3"/>
  <c r="F169" i="3"/>
  <c r="F168" i="3"/>
  <c r="F167" i="3"/>
  <c r="F174" i="3" s="1"/>
  <c r="F166" i="3"/>
  <c r="E166" i="3"/>
  <c r="D166" i="3"/>
  <c r="C166" i="3"/>
  <c r="B166" i="3"/>
  <c r="B176" i="3" s="1"/>
  <c r="E163" i="3"/>
  <c r="D163" i="3"/>
  <c r="D177" i="3" s="1"/>
  <c r="C163" i="3"/>
  <c r="B163" i="3"/>
  <c r="F162" i="3"/>
  <c r="F163" i="3" s="1"/>
  <c r="F161" i="3"/>
  <c r="F160" i="3"/>
  <c r="F159" i="3"/>
  <c r="F158" i="3"/>
  <c r="F157" i="3"/>
  <c r="F156" i="3"/>
  <c r="F147" i="3"/>
  <c r="F146" i="3"/>
  <c r="F145" i="3"/>
  <c r="F144" i="3"/>
  <c r="F143" i="3"/>
  <c r="F142" i="3"/>
  <c r="E142" i="3"/>
  <c r="D142" i="3"/>
  <c r="C142" i="3"/>
  <c r="B142" i="3"/>
  <c r="C140" i="3"/>
  <c r="F139" i="3"/>
  <c r="E139" i="3"/>
  <c r="D139" i="3"/>
  <c r="E137" i="3"/>
  <c r="D137" i="3"/>
  <c r="C137" i="3"/>
  <c r="B137" i="3"/>
  <c r="B140" i="3" s="1"/>
  <c r="F136" i="3"/>
  <c r="F135" i="3"/>
  <c r="F134" i="3"/>
  <c r="F133" i="3"/>
  <c r="F132" i="3"/>
  <c r="F131" i="3"/>
  <c r="F130" i="3"/>
  <c r="F129" i="3"/>
  <c r="E129" i="3"/>
  <c r="D129" i="3"/>
  <c r="C129" i="3"/>
  <c r="C139" i="3" s="1"/>
  <c r="B129" i="3"/>
  <c r="B139" i="3" s="1"/>
  <c r="E126" i="3"/>
  <c r="E140" i="3" s="1"/>
  <c r="D126" i="3"/>
  <c r="D140" i="3" s="1"/>
  <c r="C126" i="3"/>
  <c r="B126" i="3"/>
  <c r="F125" i="3"/>
  <c r="F124" i="3"/>
  <c r="F123" i="3"/>
  <c r="F122" i="3"/>
  <c r="F121" i="3"/>
  <c r="F120" i="3"/>
  <c r="F119" i="3"/>
  <c r="F126" i="3" s="1"/>
  <c r="E38" i="3"/>
  <c r="B38" i="3"/>
  <c r="F38" i="3" s="1"/>
  <c r="E37" i="3"/>
  <c r="F37" i="3" s="1"/>
  <c r="B37" i="3"/>
  <c r="E36" i="3"/>
  <c r="B36" i="3"/>
  <c r="F36" i="3" s="1"/>
  <c r="E35" i="3"/>
  <c r="B35" i="3"/>
  <c r="F35" i="3" s="1"/>
  <c r="E34" i="3"/>
  <c r="B34" i="3"/>
  <c r="F34" i="3" s="1"/>
  <c r="F33" i="3"/>
  <c r="E33" i="3"/>
  <c r="C31" i="3"/>
  <c r="F30" i="3"/>
  <c r="E30" i="3"/>
  <c r="D30" i="3"/>
  <c r="C30" i="3"/>
  <c r="B30" i="3"/>
  <c r="D28" i="3"/>
  <c r="C28" i="3"/>
  <c r="F27" i="3"/>
  <c r="E27" i="3"/>
  <c r="B27" i="3"/>
  <c r="F26" i="3"/>
  <c r="E26" i="3"/>
  <c r="B26" i="3"/>
  <c r="E25" i="3"/>
  <c r="B25" i="3"/>
  <c r="F25" i="3" s="1"/>
  <c r="E24" i="3"/>
  <c r="E28" i="3" s="1"/>
  <c r="B24" i="3"/>
  <c r="F24" i="3" s="1"/>
  <c r="F23" i="3"/>
  <c r="E23" i="3"/>
  <c r="B23" i="3"/>
  <c r="E22" i="3"/>
  <c r="B22" i="3"/>
  <c r="B28" i="3" s="1"/>
  <c r="D19" i="3"/>
  <c r="C19" i="3"/>
  <c r="F18" i="3"/>
  <c r="E18" i="3"/>
  <c r="E19" i="3" s="1"/>
  <c r="B18" i="3"/>
  <c r="E17" i="3"/>
  <c r="B17" i="3"/>
  <c r="F17" i="3" s="1"/>
  <c r="B16" i="3"/>
  <c r="B21" i="3" s="1"/>
  <c r="B33" i="3" s="1"/>
  <c r="E14" i="3"/>
  <c r="D14" i="3"/>
  <c r="C14" i="3"/>
  <c r="B14" i="3"/>
  <c r="E13" i="3"/>
  <c r="B13" i="3"/>
  <c r="F13" i="3" s="1"/>
  <c r="F14" i="3" s="1"/>
  <c r="E12" i="3"/>
  <c r="E16" i="3" s="1"/>
  <c r="E21" i="3" s="1"/>
  <c r="D12" i="3"/>
  <c r="D16" i="3" s="1"/>
  <c r="D21" i="3" s="1"/>
  <c r="D33" i="3" s="1"/>
  <c r="C12" i="3"/>
  <c r="C16" i="3" s="1"/>
  <c r="C21" i="3" s="1"/>
  <c r="C33" i="3" s="1"/>
  <c r="B12" i="3"/>
  <c r="D10" i="3"/>
  <c r="C10" i="3"/>
  <c r="B10" i="3"/>
  <c r="E9" i="3"/>
  <c r="B9" i="3"/>
  <c r="F9" i="3" s="1"/>
  <c r="E8" i="3"/>
  <c r="B8" i="3"/>
  <c r="F8" i="3" s="1"/>
  <c r="F7" i="3"/>
  <c r="E7" i="3"/>
  <c r="B7" i="3"/>
  <c r="E6" i="3"/>
  <c r="E10" i="3" s="1"/>
  <c r="B6" i="3"/>
  <c r="F6" i="3" s="1"/>
  <c r="F10" i="3" s="1"/>
  <c r="E560" i="2"/>
  <c r="D560" i="2"/>
  <c r="D563" i="2" s="1"/>
  <c r="C560" i="2"/>
  <c r="B560" i="2"/>
  <c r="B563" i="2" s="1"/>
  <c r="F559" i="2"/>
  <c r="F558" i="2"/>
  <c r="F557" i="2"/>
  <c r="F556" i="2"/>
  <c r="F555" i="2"/>
  <c r="E552" i="2"/>
  <c r="D552" i="2"/>
  <c r="C552" i="2"/>
  <c r="C563" i="2" s="1"/>
  <c r="B552" i="2"/>
  <c r="F551" i="2"/>
  <c r="F550" i="2"/>
  <c r="F549" i="2"/>
  <c r="F548" i="2"/>
  <c r="F552" i="2" s="1"/>
  <c r="E537" i="2"/>
  <c r="E540" i="2" s="1"/>
  <c r="D537" i="2"/>
  <c r="D540" i="2" s="1"/>
  <c r="C537" i="2"/>
  <c r="B537" i="2"/>
  <c r="B540" i="2" s="1"/>
  <c r="F536" i="2"/>
  <c r="F535" i="2"/>
  <c r="F534" i="2"/>
  <c r="F533" i="2"/>
  <c r="F532" i="2"/>
  <c r="F537" i="2" s="1"/>
  <c r="E529" i="2"/>
  <c r="D529" i="2"/>
  <c r="C529" i="2"/>
  <c r="B529" i="2"/>
  <c r="F528" i="2"/>
  <c r="F527" i="2"/>
  <c r="F526" i="2"/>
  <c r="F525" i="2"/>
  <c r="F524" i="2"/>
  <c r="E513" i="2"/>
  <c r="E516" i="2" s="1"/>
  <c r="D513" i="2"/>
  <c r="D516" i="2" s="1"/>
  <c r="C513" i="2"/>
  <c r="C516" i="2" s="1"/>
  <c r="B513" i="2"/>
  <c r="B516" i="2" s="1"/>
  <c r="F512" i="2"/>
  <c r="F513" i="2" s="1"/>
  <c r="F516" i="2" s="1"/>
  <c r="F511" i="2"/>
  <c r="F510" i="2"/>
  <c r="F509" i="2"/>
  <c r="F508" i="2"/>
  <c r="E505" i="2"/>
  <c r="D505" i="2"/>
  <c r="C505" i="2"/>
  <c r="B505" i="2"/>
  <c r="F504" i="2"/>
  <c r="F503" i="2"/>
  <c r="F502" i="2"/>
  <c r="F505" i="2" s="1"/>
  <c r="F501" i="2"/>
  <c r="F500" i="2"/>
  <c r="D492" i="2"/>
  <c r="E489" i="2"/>
  <c r="E492" i="2" s="1"/>
  <c r="D489" i="2"/>
  <c r="C489" i="2"/>
  <c r="C492" i="2" s="1"/>
  <c r="B489" i="2"/>
  <c r="B492" i="2" s="1"/>
  <c r="F488" i="2"/>
  <c r="F487" i="2"/>
  <c r="F486" i="2"/>
  <c r="F485" i="2"/>
  <c r="F484" i="2"/>
  <c r="F489" i="2" s="1"/>
  <c r="F483" i="2"/>
  <c r="E480" i="2"/>
  <c r="D480" i="2"/>
  <c r="C480" i="2"/>
  <c r="B480" i="2"/>
  <c r="F479" i="2"/>
  <c r="F480" i="2" s="1"/>
  <c r="F478" i="2"/>
  <c r="F477" i="2"/>
  <c r="F476" i="2"/>
  <c r="E468" i="2"/>
  <c r="C468" i="2"/>
  <c r="B468" i="2"/>
  <c r="E465" i="2"/>
  <c r="D465" i="2"/>
  <c r="D468" i="2" s="1"/>
  <c r="C465" i="2"/>
  <c r="B465" i="2"/>
  <c r="F464" i="2"/>
  <c r="F463" i="2"/>
  <c r="F462" i="2"/>
  <c r="F461" i="2"/>
  <c r="F460" i="2"/>
  <c r="F459" i="2"/>
  <c r="F458" i="2"/>
  <c r="E454" i="2"/>
  <c r="D454" i="2"/>
  <c r="C454" i="2"/>
  <c r="B454" i="2"/>
  <c r="F453" i="2"/>
  <c r="F452" i="2"/>
  <c r="F451" i="2"/>
  <c r="F450" i="2"/>
  <c r="F454" i="2" s="1"/>
  <c r="E441" i="2"/>
  <c r="B441" i="2"/>
  <c r="E440" i="2"/>
  <c r="B440" i="2"/>
  <c r="E438" i="2"/>
  <c r="D438" i="2"/>
  <c r="C438" i="2"/>
  <c r="C441" i="2" s="1"/>
  <c r="B438" i="2"/>
  <c r="F437" i="2"/>
  <c r="F436" i="2"/>
  <c r="F435" i="2"/>
  <c r="F434" i="2"/>
  <c r="F433" i="2"/>
  <c r="F432" i="2"/>
  <c r="F431" i="2"/>
  <c r="F430" i="2"/>
  <c r="F438" i="2" s="1"/>
  <c r="F429" i="2"/>
  <c r="F440" i="2" s="1"/>
  <c r="E429" i="2"/>
  <c r="D429" i="2"/>
  <c r="D440" i="2" s="1"/>
  <c r="C429" i="2"/>
  <c r="C440" i="2" s="1"/>
  <c r="B429" i="2"/>
  <c r="E426" i="2"/>
  <c r="D426" i="2"/>
  <c r="D441" i="2" s="1"/>
  <c r="C426" i="2"/>
  <c r="B426" i="2"/>
  <c r="F425" i="2"/>
  <c r="F424" i="2"/>
  <c r="F423" i="2"/>
  <c r="F426" i="2" s="1"/>
  <c r="F422" i="2"/>
  <c r="E413" i="2"/>
  <c r="C413" i="2"/>
  <c r="B413" i="2"/>
  <c r="F412" i="2"/>
  <c r="E410" i="2"/>
  <c r="D410" i="2"/>
  <c r="D413" i="2" s="1"/>
  <c r="C410" i="2"/>
  <c r="B410" i="2"/>
  <c r="F409" i="2"/>
  <c r="F410" i="2" s="1"/>
  <c r="F413" i="2" s="1"/>
  <c r="F408" i="2"/>
  <c r="F407" i="2"/>
  <c r="F406" i="2"/>
  <c r="F405" i="2"/>
  <c r="F404" i="2"/>
  <c r="F403" i="2"/>
  <c r="F402" i="2"/>
  <c r="E402" i="2"/>
  <c r="E412" i="2" s="1"/>
  <c r="D402" i="2"/>
  <c r="D412" i="2" s="1"/>
  <c r="C402" i="2"/>
  <c r="C412" i="2" s="1"/>
  <c r="B402" i="2"/>
  <c r="B412" i="2" s="1"/>
  <c r="F399" i="2"/>
  <c r="E399" i="2"/>
  <c r="D399" i="2"/>
  <c r="C399" i="2"/>
  <c r="B399" i="2"/>
  <c r="F398" i="2"/>
  <c r="F397" i="2"/>
  <c r="F396" i="2"/>
  <c r="F395" i="2"/>
  <c r="E385" i="2"/>
  <c r="C385" i="2"/>
  <c r="F384" i="2"/>
  <c r="E382" i="2"/>
  <c r="D382" i="2"/>
  <c r="C382" i="2"/>
  <c r="B382" i="2"/>
  <c r="B385" i="2" s="1"/>
  <c r="F381" i="2"/>
  <c r="F380" i="2"/>
  <c r="F379" i="2"/>
  <c r="F382" i="2" s="1"/>
  <c r="F385" i="2" s="1"/>
  <c r="F378" i="2"/>
  <c r="F377" i="2"/>
  <c r="F376" i="2"/>
  <c r="F375" i="2"/>
  <c r="F374" i="2"/>
  <c r="E374" i="2"/>
  <c r="E384" i="2" s="1"/>
  <c r="D374" i="2"/>
  <c r="D384" i="2" s="1"/>
  <c r="C374" i="2"/>
  <c r="C384" i="2" s="1"/>
  <c r="B374" i="2"/>
  <c r="B384" i="2" s="1"/>
  <c r="F371" i="2"/>
  <c r="E371" i="2"/>
  <c r="D371" i="2"/>
  <c r="C371" i="2"/>
  <c r="B371" i="2"/>
  <c r="F370" i="2"/>
  <c r="F369" i="2"/>
  <c r="F368" i="2"/>
  <c r="F367" i="2"/>
  <c r="F366" i="2"/>
  <c r="F365" i="2"/>
  <c r="F358" i="2"/>
  <c r="F357" i="2"/>
  <c r="F356" i="2"/>
  <c r="C353" i="2"/>
  <c r="F352" i="2"/>
  <c r="D352" i="2"/>
  <c r="C352" i="2"/>
  <c r="E350" i="2"/>
  <c r="E353" i="2" s="1"/>
  <c r="D350" i="2"/>
  <c r="C350" i="2"/>
  <c r="B350" i="2"/>
  <c r="F349" i="2"/>
  <c r="F348" i="2"/>
  <c r="F347" i="2"/>
  <c r="F346" i="2"/>
  <c r="F345" i="2"/>
  <c r="F344" i="2"/>
  <c r="F350" i="2" s="1"/>
  <c r="F343" i="2"/>
  <c r="F342" i="2"/>
  <c r="E342" i="2"/>
  <c r="E352" i="2" s="1"/>
  <c r="D342" i="2"/>
  <c r="C342" i="2"/>
  <c r="B342" i="2"/>
  <c r="B352" i="2" s="1"/>
  <c r="E339" i="2"/>
  <c r="D339" i="2"/>
  <c r="C339" i="2"/>
  <c r="B339" i="2"/>
  <c r="F338" i="2"/>
  <c r="F337" i="2"/>
  <c r="F336" i="2"/>
  <c r="F335" i="2"/>
  <c r="F334" i="2"/>
  <c r="F333" i="2"/>
  <c r="F326" i="2"/>
  <c r="F325" i="2"/>
  <c r="F324" i="2"/>
  <c r="F323" i="2"/>
  <c r="F322" i="2"/>
  <c r="E322" i="2"/>
  <c r="D322" i="2"/>
  <c r="C322" i="2"/>
  <c r="B322" i="2"/>
  <c r="D317" i="2"/>
  <c r="D320" i="2" s="1"/>
  <c r="B317" i="2"/>
  <c r="B320" i="2" s="1"/>
  <c r="E316" i="2"/>
  <c r="E317" i="2" s="1"/>
  <c r="E320" i="2" s="1"/>
  <c r="C316" i="2"/>
  <c r="B316" i="2"/>
  <c r="F315" i="2"/>
  <c r="F314" i="2"/>
  <c r="F313" i="2"/>
  <c r="F312" i="2"/>
  <c r="E311" i="2"/>
  <c r="C311" i="2"/>
  <c r="C317" i="2" s="1"/>
  <c r="C320" i="2" s="1"/>
  <c r="B311" i="2"/>
  <c r="F311" i="2" s="1"/>
  <c r="F310" i="2"/>
  <c r="F309" i="2"/>
  <c r="F308" i="2"/>
  <c r="F319" i="2" s="1"/>
  <c r="E308" i="2"/>
  <c r="E319" i="2" s="1"/>
  <c r="D308" i="2"/>
  <c r="D319" i="2" s="1"/>
  <c r="C308" i="2"/>
  <c r="C319" i="2" s="1"/>
  <c r="B308" i="2"/>
  <c r="B319" i="2" s="1"/>
  <c r="D305" i="2"/>
  <c r="C305" i="2"/>
  <c r="B305" i="2"/>
  <c r="F304" i="2"/>
  <c r="F303" i="2"/>
  <c r="F302" i="2"/>
  <c r="F301" i="2"/>
  <c r="F300" i="2"/>
  <c r="F299" i="2"/>
  <c r="E299" i="2"/>
  <c r="C299" i="2"/>
  <c r="E298" i="2"/>
  <c r="E305" i="2" s="1"/>
  <c r="F290" i="2"/>
  <c r="F289" i="2"/>
  <c r="F288" i="2"/>
  <c r="F287" i="2"/>
  <c r="F286" i="2"/>
  <c r="F285" i="2"/>
  <c r="E285" i="2"/>
  <c r="D285" i="2"/>
  <c r="C285" i="2"/>
  <c r="B285" i="2"/>
  <c r="D282" i="2"/>
  <c r="B282" i="2"/>
  <c r="B280" i="2"/>
  <c r="B283" i="2" s="1"/>
  <c r="F279" i="2"/>
  <c r="E278" i="2"/>
  <c r="D278" i="2"/>
  <c r="C278" i="2"/>
  <c r="F278" i="2" s="1"/>
  <c r="F277" i="2"/>
  <c r="F276" i="2"/>
  <c r="F275" i="2"/>
  <c r="F274" i="2"/>
  <c r="E273" i="2"/>
  <c r="E280" i="2" s="1"/>
  <c r="D273" i="2"/>
  <c r="D280" i="2" s="1"/>
  <c r="C273" i="2"/>
  <c r="F273" i="2" s="1"/>
  <c r="F272" i="2"/>
  <c r="F271" i="2"/>
  <c r="F270" i="2"/>
  <c r="F282" i="2" s="1"/>
  <c r="E270" i="2"/>
  <c r="E282" i="2" s="1"/>
  <c r="D270" i="2"/>
  <c r="C270" i="2"/>
  <c r="C282" i="2" s="1"/>
  <c r="B270" i="2"/>
  <c r="C267" i="2"/>
  <c r="B267" i="2"/>
  <c r="F266" i="2"/>
  <c r="F265" i="2"/>
  <c r="F264" i="2"/>
  <c r="F263" i="2"/>
  <c r="F262" i="2"/>
  <c r="F261" i="2"/>
  <c r="E261" i="2"/>
  <c r="D261" i="2"/>
  <c r="C261" i="2"/>
  <c r="F260" i="2"/>
  <c r="F259" i="2"/>
  <c r="E259" i="2"/>
  <c r="D259" i="2"/>
  <c r="C259" i="2"/>
  <c r="F258" i="2"/>
  <c r="F267" i="2" s="1"/>
  <c r="E258" i="2"/>
  <c r="E267" i="2" s="1"/>
  <c r="D258" i="2"/>
  <c r="D267" i="2" s="1"/>
  <c r="C258" i="2"/>
  <c r="F250" i="2"/>
  <c r="F249" i="2"/>
  <c r="F248" i="2"/>
  <c r="F247" i="2"/>
  <c r="F246" i="2"/>
  <c r="E242" i="2"/>
  <c r="E245" i="2" s="1"/>
  <c r="C242" i="2"/>
  <c r="C245" i="2" s="1"/>
  <c r="B242" i="2"/>
  <c r="B245" i="2" s="1"/>
  <c r="E240" i="2"/>
  <c r="E243" i="2" s="1"/>
  <c r="D240" i="2"/>
  <c r="C240" i="2"/>
  <c r="B240" i="2"/>
  <c r="F239" i="2"/>
  <c r="F238" i="2"/>
  <c r="F237" i="2"/>
  <c r="F236" i="2"/>
  <c r="F235" i="2"/>
  <c r="F234" i="2"/>
  <c r="F233" i="2"/>
  <c r="F232" i="2"/>
  <c r="F240" i="2" s="1"/>
  <c r="F231" i="2"/>
  <c r="F242" i="2" s="1"/>
  <c r="F245" i="2" s="1"/>
  <c r="E231" i="2"/>
  <c r="D231" i="2"/>
  <c r="D242" i="2" s="1"/>
  <c r="D245" i="2" s="1"/>
  <c r="C231" i="2"/>
  <c r="B231" i="2"/>
  <c r="E228" i="2"/>
  <c r="D228" i="2"/>
  <c r="D243" i="2" s="1"/>
  <c r="C228" i="2"/>
  <c r="C243" i="2" s="1"/>
  <c r="B228" i="2"/>
  <c r="B243" i="2" s="1"/>
  <c r="F227" i="2"/>
  <c r="F226" i="2"/>
  <c r="F225" i="2"/>
  <c r="F224" i="2"/>
  <c r="F223" i="2"/>
  <c r="F222" i="2"/>
  <c r="F221" i="2"/>
  <c r="F220" i="2"/>
  <c r="F228" i="2" s="1"/>
  <c r="F243" i="2" s="1"/>
  <c r="F212" i="2"/>
  <c r="F211" i="2"/>
  <c r="F210" i="2"/>
  <c r="F209" i="2"/>
  <c r="F208" i="2"/>
  <c r="F207" i="2"/>
  <c r="E207" i="2"/>
  <c r="D207" i="2"/>
  <c r="C207" i="2"/>
  <c r="B207" i="2"/>
  <c r="E204" i="2"/>
  <c r="C204" i="2"/>
  <c r="E202" i="2"/>
  <c r="E205" i="2" s="1"/>
  <c r="D202" i="2"/>
  <c r="F201" i="2"/>
  <c r="B201" i="2"/>
  <c r="B202" i="2" s="1"/>
  <c r="B205" i="2" s="1"/>
  <c r="F200" i="2"/>
  <c r="F199" i="2"/>
  <c r="F198" i="2"/>
  <c r="F197" i="2"/>
  <c r="C197" i="2"/>
  <c r="F196" i="2"/>
  <c r="B196" i="2"/>
  <c r="F195" i="2"/>
  <c r="C194" i="2"/>
  <c r="C202" i="2" s="1"/>
  <c r="C205" i="2" s="1"/>
  <c r="F193" i="2"/>
  <c r="F204" i="2" s="1"/>
  <c r="E193" i="2"/>
  <c r="D193" i="2"/>
  <c r="D204" i="2" s="1"/>
  <c r="C193" i="2"/>
  <c r="B193" i="2"/>
  <c r="B204" i="2" s="1"/>
  <c r="E190" i="2"/>
  <c r="D190" i="2"/>
  <c r="D205" i="2" s="1"/>
  <c r="F189" i="2"/>
  <c r="F188" i="2"/>
  <c r="F187" i="2"/>
  <c r="F186" i="2"/>
  <c r="F185" i="2"/>
  <c r="B185" i="2"/>
  <c r="F184" i="2"/>
  <c r="F183" i="2"/>
  <c r="F190" i="2" s="1"/>
  <c r="C183" i="2"/>
  <c r="C190" i="2" s="1"/>
  <c r="B183" i="2"/>
  <c r="F182" i="2"/>
  <c r="B182" i="2"/>
  <c r="B190" i="2" s="1"/>
  <c r="F175" i="2"/>
  <c r="F174" i="2"/>
  <c r="F173" i="2"/>
  <c r="F172" i="2"/>
  <c r="F171" i="2"/>
  <c r="F170" i="2"/>
  <c r="E170" i="2"/>
  <c r="D170" i="2"/>
  <c r="C170" i="2"/>
  <c r="B170" i="2"/>
  <c r="B168" i="2"/>
  <c r="F167" i="2"/>
  <c r="D167" i="2"/>
  <c r="B167" i="2"/>
  <c r="D165" i="2"/>
  <c r="D168" i="2" s="1"/>
  <c r="C165" i="2"/>
  <c r="B165" i="2"/>
  <c r="F164" i="2"/>
  <c r="F163" i="2"/>
  <c r="E163" i="2"/>
  <c r="F162" i="2"/>
  <c r="F161" i="2"/>
  <c r="F160" i="2"/>
  <c r="F159" i="2"/>
  <c r="E159" i="2"/>
  <c r="E165" i="2" s="1"/>
  <c r="F158" i="2"/>
  <c r="F165" i="2" s="1"/>
  <c r="E158" i="2"/>
  <c r="F157" i="2"/>
  <c r="F156" i="2"/>
  <c r="F155" i="2"/>
  <c r="E155" i="2"/>
  <c r="E167" i="2" s="1"/>
  <c r="D155" i="2"/>
  <c r="C155" i="2"/>
  <c r="C167" i="2" s="1"/>
  <c r="B155" i="2"/>
  <c r="D152" i="2"/>
  <c r="C152" i="2"/>
  <c r="C168" i="2" s="1"/>
  <c r="B152" i="2"/>
  <c r="F151" i="2"/>
  <c r="F150" i="2"/>
  <c r="F149" i="2"/>
  <c r="F148" i="2"/>
  <c r="F147" i="2"/>
  <c r="F146" i="2"/>
  <c r="F145" i="2"/>
  <c r="E144" i="2"/>
  <c r="F144" i="2" s="1"/>
  <c r="E143" i="2"/>
  <c r="F143" i="2" s="1"/>
  <c r="F134" i="2"/>
  <c r="F133" i="2"/>
  <c r="F132" i="2"/>
  <c r="F131" i="2"/>
  <c r="F130" i="2"/>
  <c r="F129" i="2"/>
  <c r="E129" i="2"/>
  <c r="D129" i="2"/>
  <c r="C129" i="2"/>
  <c r="B129" i="2"/>
  <c r="B126" i="2"/>
  <c r="D124" i="2"/>
  <c r="D127" i="2" s="1"/>
  <c r="C124" i="2"/>
  <c r="E123" i="2"/>
  <c r="C123" i="2"/>
  <c r="B123" i="2"/>
  <c r="F123" i="2" s="1"/>
  <c r="F122" i="2"/>
  <c r="F121" i="2"/>
  <c r="E121" i="2"/>
  <c r="E120" i="2"/>
  <c r="F120" i="2" s="1"/>
  <c r="F119" i="2"/>
  <c r="F118" i="2"/>
  <c r="E118" i="2"/>
  <c r="C118" i="2"/>
  <c r="B118" i="2"/>
  <c r="B124" i="2" s="1"/>
  <c r="F117" i="2"/>
  <c r="F116" i="2"/>
  <c r="E116" i="2"/>
  <c r="F115" i="2"/>
  <c r="F126" i="2" s="1"/>
  <c r="E115" i="2"/>
  <c r="E126" i="2" s="1"/>
  <c r="D115" i="2"/>
  <c r="D126" i="2" s="1"/>
  <c r="C115" i="2"/>
  <c r="C126" i="2" s="1"/>
  <c r="B115" i="2"/>
  <c r="D112" i="2"/>
  <c r="F111" i="2"/>
  <c r="F110" i="2"/>
  <c r="E109" i="2"/>
  <c r="F109" i="2" s="1"/>
  <c r="E108" i="2"/>
  <c r="F108" i="2" s="1"/>
  <c r="F107" i="2"/>
  <c r="F106" i="2"/>
  <c r="E106" i="2"/>
  <c r="C106" i="2"/>
  <c r="B106" i="2"/>
  <c r="E105" i="2"/>
  <c r="E112" i="2" s="1"/>
  <c r="C105" i="2"/>
  <c r="C112" i="2" s="1"/>
  <c r="B105" i="2"/>
  <c r="B112" i="2" s="1"/>
  <c r="F31" i="2"/>
  <c r="E31" i="2"/>
  <c r="D31" i="2"/>
  <c r="C31" i="2"/>
  <c r="B31" i="2"/>
  <c r="E28" i="2"/>
  <c r="F28" i="2" s="1"/>
  <c r="D28" i="2"/>
  <c r="C28" i="2"/>
  <c r="B28" i="2"/>
  <c r="E27" i="2"/>
  <c r="D27" i="2"/>
  <c r="C27" i="2"/>
  <c r="B27" i="2"/>
  <c r="F27" i="2" s="1"/>
  <c r="E26" i="2"/>
  <c r="F26" i="2" s="1"/>
  <c r="D26" i="2"/>
  <c r="C26" i="2"/>
  <c r="B26" i="2"/>
  <c r="E25" i="2"/>
  <c r="D25" i="2"/>
  <c r="C25" i="2"/>
  <c r="B25" i="2"/>
  <c r="F25" i="2" s="1"/>
  <c r="E24" i="2"/>
  <c r="E29" i="2" s="1"/>
  <c r="D24" i="2"/>
  <c r="C24" i="2"/>
  <c r="F24" i="2" s="1"/>
  <c r="B24" i="2"/>
  <c r="F23" i="2"/>
  <c r="E23" i="2"/>
  <c r="D23" i="2"/>
  <c r="C23" i="2"/>
  <c r="B23" i="2"/>
  <c r="E22" i="2"/>
  <c r="D22" i="2"/>
  <c r="D29" i="2" s="1"/>
  <c r="C22" i="2"/>
  <c r="B22" i="2"/>
  <c r="B29" i="2" s="1"/>
  <c r="E18" i="2"/>
  <c r="D18" i="2"/>
  <c r="D19" i="2" s="1"/>
  <c r="C18" i="2"/>
  <c r="F18" i="2" s="1"/>
  <c r="B18" i="2"/>
  <c r="B19" i="2" s="1"/>
  <c r="F17" i="2"/>
  <c r="E17" i="2"/>
  <c r="E19" i="2" s="1"/>
  <c r="D17" i="2"/>
  <c r="C17" i="2"/>
  <c r="B17" i="2"/>
  <c r="E14" i="2"/>
  <c r="D14" i="2"/>
  <c r="E13" i="2"/>
  <c r="D13" i="2"/>
  <c r="C13" i="2"/>
  <c r="C14" i="2" s="1"/>
  <c r="B13" i="2"/>
  <c r="B14" i="2" s="1"/>
  <c r="E12" i="2"/>
  <c r="E16" i="2" s="1"/>
  <c r="E21" i="2" s="1"/>
  <c r="D12" i="2"/>
  <c r="D16" i="2" s="1"/>
  <c r="D21" i="2" s="1"/>
  <c r="C12" i="2"/>
  <c r="C16" i="2" s="1"/>
  <c r="C21" i="2" s="1"/>
  <c r="B12" i="2"/>
  <c r="B16" i="2" s="1"/>
  <c r="B21" i="2" s="1"/>
  <c r="E9" i="2"/>
  <c r="D9" i="2"/>
  <c r="C9" i="2"/>
  <c r="B9" i="2"/>
  <c r="F9" i="2" s="1"/>
  <c r="E8" i="2"/>
  <c r="F8" i="2" s="1"/>
  <c r="D8" i="2"/>
  <c r="C8" i="2"/>
  <c r="B8" i="2"/>
  <c r="E7" i="2"/>
  <c r="D7" i="2"/>
  <c r="C7" i="2"/>
  <c r="B7" i="2"/>
  <c r="F7" i="2" s="1"/>
  <c r="E6" i="2"/>
  <c r="E10" i="2" s="1"/>
  <c r="E32" i="2" s="1"/>
  <c r="D6" i="2"/>
  <c r="D10" i="2" s="1"/>
  <c r="D32" i="2" s="1"/>
  <c r="C6" i="2"/>
  <c r="F6" i="2" s="1"/>
  <c r="B6" i="2"/>
  <c r="B10" i="2" s="1"/>
  <c r="B32" i="2" s="1"/>
  <c r="F19" i="2" l="1"/>
  <c r="B127" i="2"/>
  <c r="C127" i="2"/>
  <c r="D283" i="2"/>
  <c r="F152" i="2"/>
  <c r="F168" i="2" s="1"/>
  <c r="E283" i="2"/>
  <c r="E168" i="2"/>
  <c r="F124" i="2"/>
  <c r="F10" i="2"/>
  <c r="F32" i="2" s="1"/>
  <c r="F280" i="2"/>
  <c r="F283" i="2" s="1"/>
  <c r="B31" i="3"/>
  <c r="D265" i="4"/>
  <c r="D281" i="4" s="1"/>
  <c r="F263" i="4"/>
  <c r="F265" i="4" s="1"/>
  <c r="C280" i="2"/>
  <c r="C283" i="2" s="1"/>
  <c r="B353" i="2"/>
  <c r="F418" i="3"/>
  <c r="B30" i="4"/>
  <c r="E170" i="4"/>
  <c r="F168" i="4"/>
  <c r="F170" i="4" s="1"/>
  <c r="F496" i="4"/>
  <c r="F538" i="4"/>
  <c r="F30" i="5"/>
  <c r="F22" i="2"/>
  <c r="F29" i="2" s="1"/>
  <c r="C43" i="4"/>
  <c r="F7" i="4"/>
  <c r="F105" i="2"/>
  <c r="F112" i="2" s="1"/>
  <c r="F194" i="2"/>
  <c r="F202" i="2" s="1"/>
  <c r="F205" i="2" s="1"/>
  <c r="F298" i="2"/>
  <c r="F305" i="2" s="1"/>
  <c r="D31" i="3"/>
  <c r="F19" i="3"/>
  <c r="F31" i="3" s="1"/>
  <c r="F498" i="3"/>
  <c r="E43" i="4"/>
  <c r="E48" i="4" s="1"/>
  <c r="E184" i="4"/>
  <c r="F334" i="4"/>
  <c r="F339" i="4"/>
  <c r="B30" i="5"/>
  <c r="E188" i="5"/>
  <c r="F401" i="5"/>
  <c r="C10" i="2"/>
  <c r="F13" i="2"/>
  <c r="F14" i="2" s="1"/>
  <c r="D353" i="2"/>
  <c r="D385" i="2"/>
  <c r="F529" i="2"/>
  <c r="E31" i="3"/>
  <c r="F137" i="3"/>
  <c r="F140" i="3" s="1"/>
  <c r="F249" i="3"/>
  <c r="F252" i="3" s="1"/>
  <c r="F44" i="4"/>
  <c r="F47" i="4"/>
  <c r="D43" i="4"/>
  <c r="F16" i="4"/>
  <c r="C39" i="4"/>
  <c r="E186" i="4"/>
  <c r="D279" i="4"/>
  <c r="F46" i="5"/>
  <c r="C252" i="5"/>
  <c r="F466" i="5"/>
  <c r="F469" i="5"/>
  <c r="F475" i="5" s="1"/>
  <c r="C19" i="2"/>
  <c r="F540" i="2"/>
  <c r="F339" i="2"/>
  <c r="F353" i="2" s="1"/>
  <c r="E563" i="2"/>
  <c r="F324" i="3"/>
  <c r="F327" i="3" s="1"/>
  <c r="F389" i="3"/>
  <c r="F392" i="3" s="1"/>
  <c r="F444" i="3"/>
  <c r="F447" i="3" s="1"/>
  <c r="E30" i="4"/>
  <c r="C248" i="4"/>
  <c r="C242" i="4"/>
  <c r="C250" i="4" s="1"/>
  <c r="F240" i="4"/>
  <c r="B283" i="5"/>
  <c r="C475" i="5"/>
  <c r="F498" i="5"/>
  <c r="F502" i="5"/>
  <c r="F560" i="2"/>
  <c r="F563" i="2" s="1"/>
  <c r="F200" i="3"/>
  <c r="F214" i="3" s="1"/>
  <c r="F275" i="3"/>
  <c r="F25" i="4"/>
  <c r="E310" i="4"/>
  <c r="E304" i="4"/>
  <c r="E312" i="4" s="1"/>
  <c r="F302" i="4"/>
  <c r="F42" i="5"/>
  <c r="F489" i="5"/>
  <c r="F501" i="5"/>
  <c r="C540" i="2"/>
  <c r="F39" i="4"/>
  <c r="B48" i="4"/>
  <c r="E47" i="5"/>
  <c r="F11" i="5"/>
  <c r="F47" i="5" s="1"/>
  <c r="E39" i="5"/>
  <c r="F252" i="5"/>
  <c r="F313" i="5"/>
  <c r="F389" i="5"/>
  <c r="F407" i="5" s="1"/>
  <c r="F405" i="5"/>
  <c r="E475" i="5"/>
  <c r="F538" i="5"/>
  <c r="F530" i="5"/>
  <c r="E124" i="2"/>
  <c r="E127" i="2" s="1"/>
  <c r="E152" i="2"/>
  <c r="F316" i="2"/>
  <c r="F441" i="2"/>
  <c r="F465" i="2"/>
  <c r="F468" i="2" s="1"/>
  <c r="F492" i="2"/>
  <c r="F39" i="5"/>
  <c r="F366" i="5"/>
  <c r="F371" i="5"/>
  <c r="F521" i="5"/>
  <c r="F537" i="5"/>
  <c r="C29" i="2"/>
  <c r="F177" i="3"/>
  <c r="C48" i="4"/>
  <c r="F218" i="4"/>
  <c r="F397" i="4"/>
  <c r="F406" i="4" s="1"/>
  <c r="F400" i="4"/>
  <c r="E12" i="5"/>
  <c r="F7" i="5"/>
  <c r="F43" i="5" s="1"/>
  <c r="F342" i="5"/>
  <c r="F336" i="5"/>
  <c r="B572" i="5"/>
  <c r="F317" i="2"/>
  <c r="F320" i="2" s="1"/>
  <c r="D312" i="4"/>
  <c r="F21" i="5"/>
  <c r="F287" i="3"/>
  <c r="F22" i="3"/>
  <c r="F28" i="3" s="1"/>
  <c r="F357" i="3"/>
  <c r="F360" i="3" s="1"/>
  <c r="F21" i="4"/>
  <c r="F364" i="4"/>
  <c r="F372" i="4" s="1"/>
  <c r="F369" i="4"/>
  <c r="F505" i="4"/>
  <c r="F570" i="4"/>
  <c r="F44" i="5"/>
  <c r="E44" i="5"/>
  <c r="E48" i="5" s="1"/>
  <c r="F35" i="5"/>
  <c r="F9" i="4"/>
  <c r="F45" i="4" s="1"/>
  <c r="C12" i="4"/>
  <c r="D21" i="4"/>
  <c r="B21" i="5"/>
  <c r="F140" i="5"/>
  <c r="F156" i="5" s="1"/>
  <c r="F151" i="5"/>
  <c r="F180" i="5"/>
  <c r="F247" i="5"/>
  <c r="B12" i="5"/>
  <c r="F298" i="5"/>
  <c r="F314" i="5" s="1"/>
  <c r="F424" i="5"/>
  <c r="F442" i="5" s="1"/>
  <c r="B19" i="3"/>
  <c r="E12" i="4"/>
  <c r="B47" i="4"/>
  <c r="E30" i="5"/>
  <c r="F328" i="5"/>
  <c r="F563" i="5"/>
  <c r="F572" i="5" s="1"/>
  <c r="D42" i="4"/>
  <c r="D48" i="4" s="1"/>
  <c r="F143" i="4"/>
  <c r="F151" i="4" s="1"/>
  <c r="F326" i="4"/>
  <c r="F356" i="4"/>
  <c r="B42" i="5"/>
  <c r="B48" i="5" s="1"/>
  <c r="F358" i="5"/>
  <c r="F374" i="5" s="1"/>
  <c r="B151" i="4"/>
  <c r="F10" i="4"/>
  <c r="F46" i="4" s="1"/>
  <c r="C151" i="4"/>
  <c r="F176" i="4"/>
  <c r="F24" i="4"/>
  <c r="F30" i="4" s="1"/>
  <c r="F232" i="4"/>
  <c r="F234" i="4" s="1"/>
  <c r="F271" i="4"/>
  <c r="F279" i="4" s="1"/>
  <c r="F136" i="4"/>
  <c r="F152" i="4" s="1"/>
  <c r="F140" i="4"/>
  <c r="F93" i="5"/>
  <c r="F94" i="5" s="1"/>
  <c r="F172" i="5"/>
  <c r="F188" i="5" s="1"/>
  <c r="F273" i="4" l="1"/>
  <c r="F281" i="4" s="1"/>
  <c r="F145" i="4"/>
  <c r="F148" i="4"/>
  <c r="C32" i="2"/>
  <c r="F127" i="2"/>
  <c r="F540" i="5"/>
  <c r="F344" i="5"/>
  <c r="F43" i="4"/>
  <c r="F184" i="4"/>
  <c r="F178" i="4"/>
  <c r="F186" i="4" s="1"/>
  <c r="F507" i="5"/>
  <c r="F12" i="5"/>
  <c r="F342" i="4"/>
  <c r="F12" i="4"/>
  <c r="F48" i="5"/>
  <c r="F248" i="4"/>
  <c r="F242" i="4"/>
  <c r="F250" i="4" s="1"/>
  <c r="F290" i="3"/>
  <c r="F42" i="4"/>
  <c r="F310" i="4"/>
  <c r="F304" i="4"/>
  <c r="F312" i="4" s="1"/>
  <c r="F137" i="4"/>
  <c r="F48" i="4" l="1"/>
  <c r="F153" i="4"/>
</calcChain>
</file>

<file path=xl/sharedStrings.xml><?xml version="1.0" encoding="utf-8"?>
<sst xmlns="http://schemas.openxmlformats.org/spreadsheetml/2006/main" count="2516" uniqueCount="221">
  <si>
    <t>JLR Quarterly Retails by Carline</t>
  </si>
  <si>
    <t>Click on links to view details:</t>
  </si>
  <si>
    <t>JLR Quarterly Wholesales by Carline</t>
  </si>
  <si>
    <t>JLR Quarterly Retails by Region</t>
  </si>
  <si>
    <t>JLR Quarterly Wholesales by Region</t>
  </si>
  <si>
    <t>Notes:</t>
  </si>
  <si>
    <t>Q1 represents the 3 month period from April to June, except in FY 09, where data is covered for June '08, the period under Tata Motors ownership</t>
  </si>
  <si>
    <t>Q2 represents the 3 month period from July to September</t>
  </si>
  <si>
    <t>Q3 represents the 3 month period from October to December</t>
  </si>
  <si>
    <t>Q4 represents the 3 month period from January to March</t>
  </si>
  <si>
    <t>FY represents the 12 month period from April to March</t>
  </si>
  <si>
    <t>The region-wise data in this file for the period prior to 2011-2012 has been re-classified for comparison purposes</t>
  </si>
  <si>
    <t>Q1 FY 24 onwards, reported wholesales exclude CJLR</t>
  </si>
  <si>
    <t>JLR Quarterly Wholesales by Carline (Nos)</t>
  </si>
  <si>
    <t>(2025/26)</t>
  </si>
  <si>
    <t>Range Rover Wholesales</t>
  </si>
  <si>
    <t>Q1 FY 26</t>
  </si>
  <si>
    <t>Q2 FY 26</t>
  </si>
  <si>
    <t>Q3 FY 26</t>
  </si>
  <si>
    <t>Q4 FY 26</t>
  </si>
  <si>
    <t>YTD</t>
  </si>
  <si>
    <t>Range Rover</t>
  </si>
  <si>
    <t>Range Rover Sport</t>
  </si>
  <si>
    <t>Range Rover Velar</t>
  </si>
  <si>
    <t>Range Rover Evoque*</t>
  </si>
  <si>
    <t>Total Range Rover</t>
  </si>
  <si>
    <t>Defender Wholesales</t>
  </si>
  <si>
    <t>Defender</t>
  </si>
  <si>
    <t>Total Defender</t>
  </si>
  <si>
    <t>Discovery Wholesales</t>
  </si>
  <si>
    <t>Discovery</t>
  </si>
  <si>
    <t>Discovery Sport*</t>
  </si>
  <si>
    <t>Total Discovery</t>
  </si>
  <si>
    <t>Jaguar Wholesales</t>
  </si>
  <si>
    <t>XE*</t>
  </si>
  <si>
    <t>XF*</t>
  </si>
  <si>
    <t>XJ*</t>
  </si>
  <si>
    <t>F-TYPE*</t>
  </si>
  <si>
    <t>E-PACE*</t>
  </si>
  <si>
    <t>F-PACE</t>
  </si>
  <si>
    <t>I-PACE</t>
  </si>
  <si>
    <t>Total Jaguar</t>
  </si>
  <si>
    <t>Total JLR Wholesales*</t>
  </si>
  <si>
    <t>* wholesales from Q1 FY24 onwards represent volumes excluding CJLR</t>
  </si>
  <si>
    <t>(2024/25)</t>
  </si>
  <si>
    <t>Q1 FY 25</t>
  </si>
  <si>
    <t>Q2 FY 25</t>
  </si>
  <si>
    <t>Q3 FY 25</t>
  </si>
  <si>
    <t>Q4 FY 25</t>
  </si>
  <si>
    <t>(2023/24)</t>
  </si>
  <si>
    <t>Jaguar Wholesales*</t>
  </si>
  <si>
    <t>Q1 FY 24</t>
  </si>
  <si>
    <t>Q2 FY 24</t>
  </si>
  <si>
    <t>Q3 FY 24</t>
  </si>
  <si>
    <t>Q4 FY 24</t>
  </si>
  <si>
    <t>XE</t>
  </si>
  <si>
    <t>XF</t>
  </si>
  <si>
    <t>XJ</t>
  </si>
  <si>
    <t>E - Pace</t>
  </si>
  <si>
    <t>F - Pace</t>
  </si>
  <si>
    <t>F TYPE</t>
  </si>
  <si>
    <t>Land Rover Wholesales*</t>
  </si>
  <si>
    <t>Freelander</t>
  </si>
  <si>
    <t>Discovery Sport</t>
  </si>
  <si>
    <t>Range Rover Evoque</t>
  </si>
  <si>
    <t>Total Land Rover</t>
  </si>
  <si>
    <t>(2022/23)</t>
  </si>
  <si>
    <t>Q1 FY 23</t>
  </si>
  <si>
    <t>Q2 FY 23</t>
  </si>
  <si>
    <t>Q3 FY 23</t>
  </si>
  <si>
    <t>Q4 FY 23</t>
  </si>
  <si>
    <t>E - Pace*</t>
  </si>
  <si>
    <t>Land Rover Wholesales</t>
  </si>
  <si>
    <t>Total JLR Wholesales</t>
  </si>
  <si>
    <t xml:space="preserve"> </t>
  </si>
  <si>
    <t>*CJLR Volume (included above)</t>
  </si>
  <si>
    <t>Jaguar XF</t>
  </si>
  <si>
    <t>Jaguar XE</t>
  </si>
  <si>
    <t>E-PACE</t>
  </si>
  <si>
    <t>(2021/22)</t>
  </si>
  <si>
    <t>Q1 FY 22</t>
  </si>
  <si>
    <t>Q2 FY 22</t>
  </si>
  <si>
    <t>Q3 FY 22</t>
  </si>
  <si>
    <t>Q4 FY 22</t>
  </si>
  <si>
    <t>XK</t>
  </si>
  <si>
    <t>Others</t>
  </si>
  <si>
    <t>(2020/21)</t>
  </si>
  <si>
    <t>Q1 FY 21</t>
  </si>
  <si>
    <t>Q2 FY 21</t>
  </si>
  <si>
    <t>Q3 FY 21</t>
  </si>
  <si>
    <t>Q4 FY 21</t>
  </si>
  <si>
    <t>(2019/20)</t>
  </si>
  <si>
    <t>Q1 FY 20</t>
  </si>
  <si>
    <t>Q2 FY 20</t>
  </si>
  <si>
    <t>Q3 FY 20</t>
  </si>
  <si>
    <t>Q4 FY 20</t>
  </si>
  <si>
    <t>(2018/19)</t>
  </si>
  <si>
    <t>Q1 FY19</t>
  </si>
  <si>
    <t>Q2 FY19</t>
  </si>
  <si>
    <t>Q3 FY19</t>
  </si>
  <si>
    <t>Q4 FY19</t>
  </si>
  <si>
    <t>JLR Other</t>
  </si>
  <si>
    <t>(2017/18)</t>
  </si>
  <si>
    <t>Q1 FY 18</t>
  </si>
  <si>
    <t>Q2 FY 18</t>
  </si>
  <si>
    <t>Q3 FY 18</t>
  </si>
  <si>
    <t>Q4 FY 18</t>
  </si>
  <si>
    <t>New Range Rover Sport</t>
  </si>
  <si>
    <t>New Range Rover</t>
  </si>
  <si>
    <t>(2016/17)</t>
  </si>
  <si>
    <t>Q1 FY 17</t>
  </si>
  <si>
    <t>Q2 FY 17</t>
  </si>
  <si>
    <t>Q3 FY 17</t>
  </si>
  <si>
    <t>Q4 FY 17</t>
  </si>
  <si>
    <t>F Pace</t>
  </si>
  <si>
    <t>(2015/16)</t>
  </si>
  <si>
    <t>Q1 FY 16</t>
  </si>
  <si>
    <t>Q2 FY 16</t>
  </si>
  <si>
    <t>Q3 FY 16</t>
  </si>
  <si>
    <t>Q4 FY 16</t>
  </si>
  <si>
    <t>(2014/15)</t>
  </si>
  <si>
    <t>Q1 FY15</t>
  </si>
  <si>
    <t>Q2 FY15</t>
  </si>
  <si>
    <t>Q3 FY15</t>
  </si>
  <si>
    <t>Q4 FY15</t>
  </si>
  <si>
    <t>(2013/14)</t>
  </si>
  <si>
    <t>Q1 FY14</t>
  </si>
  <si>
    <t>Q2 FY14</t>
  </si>
  <si>
    <t>Q3 FY14</t>
  </si>
  <si>
    <t>Q4 FY14</t>
  </si>
  <si>
    <t>FY 14</t>
  </si>
  <si>
    <t>(2012/13)</t>
  </si>
  <si>
    <t>Q1 FY 13</t>
  </si>
  <si>
    <t>Q2 FY 13</t>
  </si>
  <si>
    <t>Q3 FY 13</t>
  </si>
  <si>
    <t>Q4 FY 13</t>
  </si>
  <si>
    <t>FY 13</t>
  </si>
  <si>
    <t>Others (Including F TYPE)</t>
  </si>
  <si>
    <t>(2011/12)</t>
  </si>
  <si>
    <t>Q1 FY 12</t>
  </si>
  <si>
    <t>Q2 FY 12</t>
  </si>
  <si>
    <t>Q3 FY 12</t>
  </si>
  <si>
    <t>Q4 FY 12</t>
  </si>
  <si>
    <t>FY 12</t>
  </si>
  <si>
    <t>(2010/11)</t>
  </si>
  <si>
    <t>Q1 FY 11</t>
  </si>
  <si>
    <t>Q2 FY 11</t>
  </si>
  <si>
    <t>Q3 FY 11</t>
  </si>
  <si>
    <t>Q4 FY 11</t>
  </si>
  <si>
    <t>FY 11</t>
  </si>
  <si>
    <t>Prior XJ</t>
  </si>
  <si>
    <t>New XJ</t>
  </si>
  <si>
    <t>(2009/10)</t>
  </si>
  <si>
    <t>Q1 FY 10</t>
  </si>
  <si>
    <t>Q2 FY 10</t>
  </si>
  <si>
    <t>Q3 FY 10</t>
  </si>
  <si>
    <t>Q4 FY 10</t>
  </si>
  <si>
    <t>FY 10</t>
  </si>
  <si>
    <t>(2008/09)</t>
  </si>
  <si>
    <t>*Q1 FY 09</t>
  </si>
  <si>
    <t>Q2 FY 09</t>
  </si>
  <si>
    <t>Q3 FY 09</t>
  </si>
  <si>
    <t>Q4 FY 09</t>
  </si>
  <si>
    <t>FY 09</t>
  </si>
  <si>
    <t>*Q1 FY 09 Wholesales represent wholesales of June 2008, being the period under Tata Motors ownership</t>
  </si>
  <si>
    <t>JLR Quarterly Retails by Carline (Nos)</t>
  </si>
  <si>
    <t>Range Rover Retails</t>
  </si>
  <si>
    <t>Defender Retails</t>
  </si>
  <si>
    <t>Discovery Retails</t>
  </si>
  <si>
    <t>Jaguar Retails</t>
  </si>
  <si>
    <t>Total JLR Retails</t>
  </si>
  <si>
    <t>I-Pace</t>
  </si>
  <si>
    <t>Land Rover Retails</t>
  </si>
  <si>
    <t>Q1 FY 19</t>
  </si>
  <si>
    <t>Q2 FY 19</t>
  </si>
  <si>
    <t>Q3 FY 19</t>
  </si>
  <si>
    <t>Q4 FY 19</t>
  </si>
  <si>
    <t>-</t>
  </si>
  <si>
    <t>F- Pace</t>
  </si>
  <si>
    <t>Q1 FY 15</t>
  </si>
  <si>
    <t>Q2 FY 15</t>
  </si>
  <si>
    <t>Q3 FY 15</t>
  </si>
  <si>
    <t>Q4 FY 15</t>
  </si>
  <si>
    <t>Q1 FY 14</t>
  </si>
  <si>
    <t>Q2 FY 14</t>
  </si>
  <si>
    <t>Q3 FY 14</t>
  </si>
  <si>
    <t>Q4 FY 14</t>
  </si>
  <si>
    <t>*Q1 FY 09 Retails represent retails of June 2008, being the period under Tata Motors ownership</t>
  </si>
  <si>
    <t>JLR Quarterly Wholesales by Region (Nos)</t>
  </si>
  <si>
    <t>UK</t>
  </si>
  <si>
    <t>North America</t>
  </si>
  <si>
    <t>Europe</t>
  </si>
  <si>
    <t>China* (excluding CJLR)</t>
  </si>
  <si>
    <t>Overseas</t>
  </si>
  <si>
    <t>MENA</t>
  </si>
  <si>
    <t>JLR Wholesales</t>
  </si>
  <si>
    <t>Total JLR</t>
  </si>
  <si>
    <t>China*(excluding CJLR)</t>
  </si>
  <si>
    <t>China*(including CJLR)</t>
  </si>
  <si>
    <t>*Including CJLR</t>
  </si>
  <si>
    <t>Q1 FY18</t>
  </si>
  <si>
    <t>Q2 FY18</t>
  </si>
  <si>
    <t>Q3 FY18</t>
  </si>
  <si>
    <t>Q4 FY18</t>
  </si>
  <si>
    <t xml:space="preserve">                          </t>
  </si>
  <si>
    <t>Q1 FY17</t>
  </si>
  <si>
    <t>Q2 FY17</t>
  </si>
  <si>
    <t>Q3 FY17</t>
  </si>
  <si>
    <t>Q4 FY17</t>
  </si>
  <si>
    <t>All Other Markets</t>
  </si>
  <si>
    <t>Q1 FY16</t>
  </si>
  <si>
    <t>Q2 FY16</t>
  </si>
  <si>
    <t>Q3 FY16</t>
  </si>
  <si>
    <t>Q4 FY16</t>
  </si>
  <si>
    <t>China</t>
  </si>
  <si>
    <t>China*</t>
  </si>
  <si>
    <t>Asia Pacific</t>
  </si>
  <si>
    <t>JLR Quarterly Retails by Region (Nos)</t>
  </si>
  <si>
    <t>China* (including CJLR)</t>
  </si>
  <si>
    <t>JLR Retails</t>
  </si>
  <si>
    <t xml:space="preserve">                              For the Period Q1 FY 09 to Q3 FY26: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</si>
</sst>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-yy;@"/>
    <numFmt numFmtId="165" formatCode="_(#,##0_);_(\(#,##0\);_(&quot;-&quot;_);_(@_)"/>
    <numFmt numFmtId="166" formatCode="_(* #,##0_);_(* \(#,##0\);_(* &quot;-&quot;??_);_(@_)"/>
    <numFmt numFmtId="167" formatCode="0.0%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0"/>
      <name val="Trebuchet MS"/>
      <family val="2"/>
    </font>
    <font>
      <b/>
      <i/>
      <sz val="10"/>
      <name val="Trebuchet MS"/>
      <family val="2"/>
    </font>
    <font>
      <b/>
      <i/>
      <sz val="8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b/>
      <sz val="9"/>
      <name val="Trebuchet MS"/>
      <family val="2"/>
    </font>
    <font>
      <b/>
      <sz val="9"/>
      <color rgb="FF000000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Trebuchet MS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u/>
      <sz val="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B8E0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2" fillId="0" borderId="0" xfId="3" applyFont="1" applyAlignment="1" applyProtection="1"/>
    <xf numFmtId="0" fontId="3" fillId="0" borderId="0" xfId="0" applyFont="1"/>
    <xf numFmtId="0" fontId="4" fillId="0" borderId="0" xfId="0" applyFont="1"/>
    <xf numFmtId="0" fontId="1" fillId="0" borderId="0" xfId="3" applyAlignment="1" applyProtection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vertical="center" wrapText="1"/>
    </xf>
    <xf numFmtId="164" fontId="10" fillId="2" borderId="2" xfId="0" quotePrefix="1" applyNumberFormat="1" applyFont="1" applyFill="1" applyBorder="1" applyAlignment="1">
      <alignment horizontal="center" wrapText="1"/>
    </xf>
    <xf numFmtId="0" fontId="0" fillId="3" borderId="0" xfId="0" applyFill="1"/>
    <xf numFmtId="0" fontId="11" fillId="0" borderId="2" xfId="0" applyFont="1" applyBorder="1" applyAlignment="1">
      <alignment horizontal="left" vertical="center" wrapText="1"/>
    </xf>
    <xf numFmtId="165" fontId="12" fillId="0" borderId="2" xfId="0" applyNumberFormat="1" applyFont="1" applyBorder="1"/>
    <xf numFmtId="37" fontId="11" fillId="0" borderId="2" xfId="1" applyNumberFormat="1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37" fontId="10" fillId="2" borderId="2" xfId="0" applyNumberFormat="1" applyFont="1" applyFill="1" applyBorder="1" applyAlignment="1">
      <alignment horizontal="right" vertical="center" wrapText="1"/>
    </xf>
    <xf numFmtId="165" fontId="10" fillId="2" borderId="2" xfId="0" applyNumberFormat="1" applyFont="1" applyFill="1" applyBorder="1" applyAlignment="1">
      <alignment horizontal="right" vertical="center" wrapText="1"/>
    </xf>
    <xf numFmtId="0" fontId="14" fillId="0" borderId="0" xfId="0" applyFont="1"/>
    <xf numFmtId="37" fontId="11" fillId="0" borderId="2" xfId="1" applyNumberFormat="1" applyFont="1" applyFill="1" applyBorder="1" applyAlignment="1">
      <alignment horizontal="right" vertical="center" wrapText="1"/>
    </xf>
    <xf numFmtId="0" fontId="15" fillId="3" borderId="0" xfId="0" applyFont="1" applyFill="1" applyAlignment="1">
      <alignment vertical="center"/>
    </xf>
    <xf numFmtId="37" fontId="10" fillId="3" borderId="0" xfId="0" applyNumberFormat="1" applyFont="1" applyFill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164" fontId="10" fillId="0" borderId="0" xfId="0" applyNumberFormat="1" applyFont="1" applyAlignment="1">
      <alignment horizontal="left" wrapText="1"/>
    </xf>
    <xf numFmtId="164" fontId="10" fillId="2" borderId="2" xfId="0" applyNumberFormat="1" applyFont="1" applyFill="1" applyBorder="1" applyAlignment="1">
      <alignment horizontal="center" wrapText="1"/>
    </xf>
    <xf numFmtId="37" fontId="0" fillId="0" borderId="0" xfId="0" applyNumberFormat="1"/>
    <xf numFmtId="37" fontId="9" fillId="2" borderId="2" xfId="0" applyNumberFormat="1" applyFont="1" applyFill="1" applyBorder="1" applyAlignment="1">
      <alignment horizontal="right" vertical="center" wrapText="1"/>
    </xf>
    <xf numFmtId="165" fontId="11" fillId="0" borderId="2" xfId="1" applyNumberFormat="1" applyFont="1" applyBorder="1" applyAlignment="1">
      <alignment horizontal="right" vertical="center" wrapText="1"/>
    </xf>
    <xf numFmtId="165" fontId="11" fillId="0" borderId="2" xfId="1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3" fontId="11" fillId="3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9" fillId="0" borderId="0" xfId="0" applyFont="1"/>
    <xf numFmtId="0" fontId="9" fillId="3" borderId="0" xfId="0" applyFont="1" applyFill="1"/>
    <xf numFmtId="3" fontId="10" fillId="3" borderId="2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9" fillId="3" borderId="0" xfId="0" applyFont="1" applyFill="1" applyAlignment="1">
      <alignment vertical="center"/>
    </xf>
    <xf numFmtId="0" fontId="14" fillId="4" borderId="0" xfId="0" applyFont="1" applyFill="1"/>
    <xf numFmtId="0" fontId="9" fillId="2" borderId="2" xfId="0" applyFont="1" applyFill="1" applyBorder="1" applyAlignment="1">
      <alignment vertical="center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4" fillId="3" borderId="0" xfId="0" applyFont="1" applyFill="1"/>
    <xf numFmtId="166" fontId="11" fillId="0" borderId="2" xfId="1" applyNumberFormat="1" applyFont="1" applyBorder="1" applyAlignment="1">
      <alignment horizontal="right" vertical="center" wrapText="1"/>
    </xf>
    <xf numFmtId="0" fontId="17" fillId="0" borderId="0" xfId="0" applyFont="1"/>
    <xf numFmtId="166" fontId="11" fillId="0" borderId="3" xfId="1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6" fontId="10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1" fillId="0" borderId="0" xfId="0" applyFont="1" applyAlignment="1">
      <alignment horizontal="left" vertical="center"/>
    </xf>
    <xf numFmtId="37" fontId="0" fillId="3" borderId="0" xfId="0" applyNumberFormat="1" applyFill="1"/>
    <xf numFmtId="0" fontId="9" fillId="3" borderId="2" xfId="0" applyFont="1" applyFill="1" applyBorder="1" applyAlignment="1">
      <alignment vertical="center"/>
    </xf>
    <xf numFmtId="0" fontId="13" fillId="3" borderId="0" xfId="0" applyFont="1" applyFill="1"/>
    <xf numFmtId="0" fontId="11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3" fontId="11" fillId="3" borderId="0" xfId="0" applyNumberFormat="1" applyFont="1" applyFill="1" applyAlignment="1">
      <alignment horizontal="right" vertical="center" wrapText="1"/>
    </xf>
    <xf numFmtId="3" fontId="10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vertical="center"/>
    </xf>
    <xf numFmtId="0" fontId="17" fillId="3" borderId="0" xfId="0" applyFont="1" applyFill="1"/>
    <xf numFmtId="3" fontId="17" fillId="3" borderId="0" xfId="0" applyNumberFormat="1" applyFont="1" applyFill="1"/>
    <xf numFmtId="0" fontId="12" fillId="0" borderId="0" xfId="0" applyFont="1"/>
    <xf numFmtId="166" fontId="10" fillId="2" borderId="2" xfId="1" applyNumberFormat="1" applyFont="1" applyFill="1" applyBorder="1" applyAlignment="1">
      <alignment horizontal="right" vertical="center" wrapText="1"/>
    </xf>
    <xf numFmtId="165" fontId="17" fillId="3" borderId="0" xfId="0" applyNumberFormat="1" applyFont="1" applyFill="1"/>
    <xf numFmtId="3" fontId="9" fillId="0" borderId="0" xfId="0" applyNumberFormat="1" applyFont="1"/>
    <xf numFmtId="0" fontId="10" fillId="3" borderId="0" xfId="0" applyFont="1" applyFill="1" applyAlignment="1">
      <alignment horizontal="left" vertical="center" wrapText="1"/>
    </xf>
    <xf numFmtId="3" fontId="10" fillId="0" borderId="0" xfId="0" applyNumberFormat="1" applyFont="1" applyAlignment="1">
      <alignment horizontal="right" vertical="center" wrapText="1"/>
    </xf>
    <xf numFmtId="0" fontId="10" fillId="4" borderId="0" xfId="0" applyFont="1" applyFill="1" applyAlignment="1">
      <alignment horizontal="left" vertical="center" wrapText="1"/>
    </xf>
    <xf numFmtId="3" fontId="10" fillId="4" borderId="0" xfId="0" applyNumberFormat="1" applyFont="1" applyFill="1" applyAlignment="1">
      <alignment horizontal="right" vertical="center" wrapText="1"/>
    </xf>
    <xf numFmtId="0" fontId="9" fillId="4" borderId="0" xfId="0" applyFont="1" applyFill="1"/>
    <xf numFmtId="0" fontId="10" fillId="0" borderId="0" xfId="0" applyFont="1" applyAlignment="1">
      <alignment horizontal="left" vertical="center" wrapText="1"/>
    </xf>
    <xf numFmtId="166" fontId="12" fillId="0" borderId="2" xfId="1" applyNumberFormat="1" applyFont="1" applyFill="1" applyBorder="1" applyAlignment="1"/>
    <xf numFmtId="0" fontId="9" fillId="0" borderId="0" xfId="0" applyFont="1" applyAlignment="1">
      <alignment vertical="center"/>
    </xf>
    <xf numFmtId="165" fontId="12" fillId="3" borderId="2" xfId="0" applyNumberFormat="1" applyFont="1" applyFill="1" applyBorder="1"/>
    <xf numFmtId="165" fontId="9" fillId="3" borderId="0" xfId="0" applyNumberFormat="1" applyFont="1" applyFill="1"/>
    <xf numFmtId="3" fontId="10" fillId="2" borderId="2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/>
    <xf numFmtId="167" fontId="9" fillId="3" borderId="0" xfId="0" applyNumberFormat="1" applyFont="1" applyFill="1"/>
    <xf numFmtId="0" fontId="10" fillId="3" borderId="2" xfId="0" applyFont="1" applyFill="1" applyBorder="1" applyAlignment="1">
      <alignment horizontal="left" vertical="center" wrapText="1"/>
    </xf>
    <xf numFmtId="9" fontId="9" fillId="3" borderId="0" xfId="2" applyFont="1" applyFill="1" applyBorder="1" applyAlignment="1"/>
    <xf numFmtId="0" fontId="18" fillId="4" borderId="0" xfId="0" applyFont="1" applyFill="1"/>
    <xf numFmtId="0" fontId="18" fillId="0" borderId="0" xfId="0" applyFont="1"/>
    <xf numFmtId="165" fontId="9" fillId="0" borderId="0" xfId="0" applyNumberFormat="1" applyFont="1"/>
    <xf numFmtId="0" fontId="18" fillId="4" borderId="0" xfId="0" applyFont="1" applyFill="1" applyAlignment="1">
      <alignment horizontal="center"/>
    </xf>
    <xf numFmtId="0" fontId="12" fillId="4" borderId="0" xfId="0" applyFont="1" applyFill="1"/>
    <xf numFmtId="43" fontId="10" fillId="3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165" fontId="10" fillId="3" borderId="0" xfId="0" applyNumberFormat="1" applyFont="1" applyFill="1" applyAlignment="1">
      <alignment horizontal="right" vertical="center" wrapText="1"/>
    </xf>
    <xf numFmtId="167" fontId="17" fillId="3" borderId="0" xfId="2" applyNumberFormat="1" applyFont="1" applyFill="1" applyBorder="1" applyAlignment="1"/>
    <xf numFmtId="165" fontId="10" fillId="3" borderId="2" xfId="0" applyNumberFormat="1" applyFont="1" applyFill="1" applyBorder="1" applyAlignment="1">
      <alignment horizontal="right" vertical="center" wrapText="1"/>
    </xf>
    <xf numFmtId="165" fontId="10" fillId="4" borderId="0" xfId="0" applyNumberFormat="1" applyFont="1" applyFill="1" applyAlignment="1">
      <alignment horizontal="right" vertical="center" wrapText="1"/>
    </xf>
    <xf numFmtId="0" fontId="17" fillId="4" borderId="0" xfId="0" applyFont="1" applyFill="1"/>
    <xf numFmtId="165" fontId="10" fillId="0" borderId="0" xfId="0" applyNumberFormat="1" applyFont="1" applyAlignment="1">
      <alignment horizontal="right" vertical="center" wrapText="1"/>
    </xf>
    <xf numFmtId="165" fontId="17" fillId="0" borderId="0" xfId="0" applyNumberFormat="1" applyFont="1"/>
    <xf numFmtId="166" fontId="10" fillId="2" borderId="2" xfId="1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_Accounting\Department\Old%20N%20drive\MAC\Finance%20Report%202009\FR12\Cash%20Flow%20FR12\Cashflow%20in%20stat%20format%20fr12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olexa1\Local%20Settings\Temporary%20Internet%20Files\OLK1A7\772%20MasterQtrTemp_2007%20v%204%202%20(2)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lrglobal.sharepoint.com/sites/Quarterlyinvestorreporting_GRP/Shared%20Documents/General/01.%20Quarterly%20Reporting/FY26/FY26%20Q3/Working%20Files/TML/TML%20Volumes%20File%20FY26%20Q3%20(incl.%20SV%20-%20internal%20workings).xlsx" TargetMode="External"/><Relationship Id="rId1" Type="http://schemas.openxmlformats.org/officeDocument/2006/relationships/externalLinkPath" Target="https://jlrglobal.sharepoint.com/sites/Quarterlyinvestorreporting_GRP/Shared%20Documents/General/01.%20Quarterly%20Reporting/FY26/FY26%20Q3/Working%20Files/TML/TML%20Volumes%20File%20FY26%20Q3%20(incl.%20SV%20-%20internal%20working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232\Debt%20Model\Debt%20Model%20-%2031%2010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Group%20Accounts\Old%20N%20drive\MAC\Finance%20report%202006\FR5\FR5%20Directors%20Report_P&amp;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LIF\Accounting\1232\YEAREND\Year%20End%202003\FRS13\Debt%20Model%20-%2031%2003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QFIL01\LSQShared\Fin_Planning\Department\Shared\FR%20Capex\2009%20Finance%20Reports\FR5\C100571%20FR5%20forecast%20full%20yr%20Capex%20for%20Plann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Planning\Planning\Shared\AOP\2007\AOP%20document\Workings%20and%20Support\AOP2006\Sales%20FX%20and%20Trading%20differe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Documents%20and%20Settings\modir\Local%20Settings\Temporary%20Internet%20Files\OLK4\Directors%20Report_PL%20FR5%20forecast%20to%20P12%20FY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rglobal.sharepoint.com/Users/howens/Documents/Q4%20Financials%20Template%20(Working%20Document)%20-%20HO%202019-04-15%20v0.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JLR%20Treasury\Investor%20relations\Volumes\FY16\P04\JLR%20Volume%20data%20Jul%202015%20without%20CJLR%20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OP 2010"/>
      <sheetName val="Stat format cash flow"/>
      <sheetName val="Stat format working capital"/>
      <sheetName val="Hyperion AO_PForecast (2)"/>
      <sheetName val="Hyperion AO_PForecast"/>
      <sheetName val="C100821 (1)"/>
      <sheetName val="C100821 (2)"/>
      <sheetName val="c100831 (1)"/>
      <sheetName val="c100831 (2)"/>
      <sheetName val="c100841 (1)"/>
      <sheetName val="c100841 (2)"/>
      <sheetName val="V2"/>
      <sheetName val="stat format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8"/>
      <sheetName val="intro"/>
      <sheetName val="1"/>
      <sheetName val="BU"/>
      <sheetName val="Divisions"/>
      <sheetName val="2"/>
      <sheetName val="3"/>
      <sheetName val="3 OLD"/>
      <sheetName val="5"/>
      <sheetName val="6"/>
      <sheetName val="7"/>
      <sheetName val="11"/>
      <sheetName val="12"/>
      <sheetName val="13"/>
      <sheetName val="14"/>
      <sheetName val="15"/>
      <sheetName val="16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30"/>
      <sheetName val="31"/>
      <sheetName val="32"/>
      <sheetName val="33"/>
      <sheetName val="34"/>
      <sheetName val="35"/>
      <sheetName val="35a"/>
      <sheetName val="37"/>
      <sheetName val="38"/>
      <sheetName val="40"/>
      <sheetName val="39"/>
      <sheetName val="41"/>
      <sheetName val="36"/>
      <sheetName val="SAP MAP"/>
      <sheetName val="Proof"/>
      <sheetName val="Export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4">
          <cell r="J4" t="str">
            <v>Select Period</v>
          </cell>
        </row>
        <row r="21">
          <cell r="M21" t="str">
            <v>Please Select One</v>
          </cell>
        </row>
        <row r="22">
          <cell r="M22" t="str">
            <v>Secured</v>
          </cell>
        </row>
        <row r="23">
          <cell r="M23" t="str">
            <v>Unsecured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JLR Qtr Wholesale Carline - HoB"/>
      <sheetName val="JLR Qtr Retails Carline - HoB"/>
      <sheetName val="JLR Qtr Wholesales Region - HoB"/>
      <sheetName val="JLR Qtr Retails Region - HoB"/>
      <sheetName val="SmartView"/>
    </sheetNames>
    <sheetDataSet>
      <sheetData sheetId="0"/>
      <sheetData sheetId="1"/>
      <sheetData sheetId="2"/>
      <sheetData sheetId="3"/>
      <sheetData sheetId="4"/>
      <sheetData sheetId="5">
        <row r="12">
          <cell r="D12">
            <v>17561</v>
          </cell>
          <cell r="G12">
            <v>0</v>
          </cell>
        </row>
        <row r="13">
          <cell r="D13">
            <v>19796</v>
          </cell>
          <cell r="G13">
            <v>0</v>
          </cell>
        </row>
        <row r="14">
          <cell r="D14">
            <v>6006</v>
          </cell>
          <cell r="G14">
            <v>0</v>
          </cell>
        </row>
        <row r="15">
          <cell r="D15">
            <v>9992</v>
          </cell>
          <cell r="G15">
            <v>0</v>
          </cell>
        </row>
        <row r="17">
          <cell r="D17">
            <v>27488</v>
          </cell>
          <cell r="G17">
            <v>0</v>
          </cell>
        </row>
        <row r="19">
          <cell r="D19">
            <v>3445</v>
          </cell>
          <cell r="G19">
            <v>0</v>
          </cell>
        </row>
        <row r="20">
          <cell r="D20">
            <v>4833</v>
          </cell>
          <cell r="G20">
            <v>0</v>
          </cell>
        </row>
        <row r="22">
          <cell r="D22">
            <v>1534</v>
          </cell>
          <cell r="G22">
            <v>0</v>
          </cell>
        </row>
        <row r="23">
          <cell r="D23">
            <v>1251</v>
          </cell>
          <cell r="G23">
            <v>0</v>
          </cell>
        </row>
        <row r="24">
          <cell r="D24">
            <v>159</v>
          </cell>
          <cell r="G24">
            <v>0</v>
          </cell>
        </row>
        <row r="25">
          <cell r="D25">
            <v>456</v>
          </cell>
          <cell r="G25">
            <v>0</v>
          </cell>
        </row>
        <row r="26">
          <cell r="D26">
            <v>1708</v>
          </cell>
          <cell r="G26">
            <v>0</v>
          </cell>
        </row>
        <row r="27">
          <cell r="D27">
            <v>191</v>
          </cell>
          <cell r="G27">
            <v>0</v>
          </cell>
        </row>
        <row r="30">
          <cell r="D30">
            <v>2088</v>
          </cell>
          <cell r="G30">
            <v>0</v>
          </cell>
        </row>
        <row r="31">
          <cell r="D31">
            <v>1469</v>
          </cell>
          <cell r="G31">
            <v>0</v>
          </cell>
        </row>
        <row r="32">
          <cell r="D32">
            <v>1523</v>
          </cell>
          <cell r="G32">
            <v>0</v>
          </cell>
        </row>
        <row r="33">
          <cell r="D33">
            <v>1152</v>
          </cell>
          <cell r="G33">
            <v>0</v>
          </cell>
        </row>
        <row r="34">
          <cell r="D34">
            <v>98</v>
          </cell>
          <cell r="G34">
            <v>0</v>
          </cell>
        </row>
        <row r="36">
          <cell r="D36">
            <v>18228</v>
          </cell>
          <cell r="E36">
            <v>15276</v>
          </cell>
          <cell r="F36">
            <v>10241</v>
          </cell>
          <cell r="G36">
            <v>0</v>
          </cell>
        </row>
        <row r="37">
          <cell r="D37">
            <v>20942</v>
          </cell>
          <cell r="E37">
            <v>14155</v>
          </cell>
          <cell r="F37">
            <v>12141</v>
          </cell>
          <cell r="G37">
            <v>0</v>
          </cell>
        </row>
        <row r="38">
          <cell r="D38">
            <v>5205</v>
          </cell>
          <cell r="E38">
            <v>3547</v>
          </cell>
          <cell r="F38">
            <v>3694</v>
          </cell>
          <cell r="G38">
            <v>0</v>
          </cell>
        </row>
        <row r="39">
          <cell r="D39">
            <v>6500</v>
          </cell>
          <cell r="E39">
            <v>5818</v>
          </cell>
          <cell r="F39">
            <v>5773</v>
          </cell>
          <cell r="G39">
            <v>0</v>
          </cell>
        </row>
        <row r="41">
          <cell r="D41">
            <v>28251</v>
          </cell>
          <cell r="E41">
            <v>21300</v>
          </cell>
          <cell r="F41">
            <v>21553</v>
          </cell>
          <cell r="G41">
            <v>0</v>
          </cell>
        </row>
        <row r="43">
          <cell r="D43">
            <v>3282</v>
          </cell>
          <cell r="E43">
            <v>2351</v>
          </cell>
          <cell r="F43">
            <v>2143</v>
          </cell>
          <cell r="G43">
            <v>0</v>
          </cell>
        </row>
        <row r="44">
          <cell r="D44">
            <v>2539</v>
          </cell>
          <cell r="E44">
            <v>2199</v>
          </cell>
          <cell r="F44">
            <v>2333</v>
          </cell>
          <cell r="G44">
            <v>0</v>
          </cell>
        </row>
        <row r="46">
          <cell r="D46">
            <v>3</v>
          </cell>
          <cell r="E46">
            <v>0</v>
          </cell>
          <cell r="F46">
            <v>1</v>
          </cell>
          <cell r="G46">
            <v>0</v>
          </cell>
        </row>
        <row r="47">
          <cell r="D47">
            <v>95</v>
          </cell>
          <cell r="E47">
            <v>33</v>
          </cell>
          <cell r="F47">
            <v>48</v>
          </cell>
          <cell r="G47">
            <v>0</v>
          </cell>
        </row>
        <row r="48">
          <cell r="D48">
            <v>2</v>
          </cell>
          <cell r="E48">
            <v>0</v>
          </cell>
          <cell r="F48">
            <v>1</v>
          </cell>
          <cell r="G48">
            <v>0</v>
          </cell>
        </row>
        <row r="49">
          <cell r="D49">
            <v>123</v>
          </cell>
          <cell r="E49">
            <v>162</v>
          </cell>
          <cell r="F49">
            <v>108</v>
          </cell>
          <cell r="G49">
            <v>0</v>
          </cell>
        </row>
        <row r="50">
          <cell r="D50">
            <v>39</v>
          </cell>
          <cell r="E50">
            <v>5</v>
          </cell>
          <cell r="F50">
            <v>10</v>
          </cell>
          <cell r="G50">
            <v>0</v>
          </cell>
        </row>
        <row r="51">
          <cell r="D51">
            <v>1915</v>
          </cell>
          <cell r="E51">
            <v>1158</v>
          </cell>
          <cell r="F51">
            <v>1006</v>
          </cell>
          <cell r="G51">
            <v>0</v>
          </cell>
        </row>
        <row r="52">
          <cell r="D52">
            <v>162</v>
          </cell>
          <cell r="E52">
            <v>161</v>
          </cell>
          <cell r="F52">
            <v>97</v>
          </cell>
          <cell r="G52">
            <v>0</v>
          </cell>
        </row>
        <row r="56">
          <cell r="D56">
            <v>9769</v>
          </cell>
          <cell r="E56">
            <v>6110</v>
          </cell>
          <cell r="F56">
            <v>8569</v>
          </cell>
          <cell r="G56">
            <v>0</v>
          </cell>
        </row>
        <row r="57">
          <cell r="D57">
            <v>17102</v>
          </cell>
          <cell r="E57">
            <v>11609</v>
          </cell>
          <cell r="F57">
            <v>8476</v>
          </cell>
          <cell r="G57">
            <v>0</v>
          </cell>
        </row>
        <row r="58">
          <cell r="D58">
            <v>9001</v>
          </cell>
          <cell r="E58">
            <v>7204</v>
          </cell>
          <cell r="F58">
            <v>6976</v>
          </cell>
          <cell r="G58">
            <v>0</v>
          </cell>
        </row>
        <row r="59">
          <cell r="D59">
            <v>6381</v>
          </cell>
          <cell r="E59">
            <v>8067</v>
          </cell>
          <cell r="F59">
            <v>2673</v>
          </cell>
          <cell r="G59">
            <v>0</v>
          </cell>
        </row>
        <row r="60">
          <cell r="D60">
            <v>6082</v>
          </cell>
          <cell r="E60">
            <v>4432</v>
          </cell>
          <cell r="F60">
            <v>2694</v>
          </cell>
          <cell r="G60">
            <v>0</v>
          </cell>
        </row>
        <row r="61">
          <cell r="D61">
            <v>2540</v>
          </cell>
          <cell r="E61">
            <v>1374</v>
          </cell>
          <cell r="F61">
            <v>2461</v>
          </cell>
          <cell r="G61">
            <v>0</v>
          </cell>
        </row>
        <row r="63">
          <cell r="D63">
            <v>4044</v>
          </cell>
          <cell r="E63">
            <v>3731</v>
          </cell>
          <cell r="F63">
            <v>5936</v>
          </cell>
          <cell r="G63">
            <v>0</v>
          </cell>
        </row>
        <row r="64">
          <cell r="D64">
            <v>7712</v>
          </cell>
          <cell r="E64">
            <v>4653</v>
          </cell>
          <cell r="F64">
            <v>4100</v>
          </cell>
          <cell r="G64">
            <v>0</v>
          </cell>
        </row>
        <row r="65">
          <cell r="D65">
            <v>4359</v>
          </cell>
          <cell r="E65">
            <v>2519</v>
          </cell>
          <cell r="F65">
            <v>3619</v>
          </cell>
          <cell r="G65">
            <v>0</v>
          </cell>
        </row>
        <row r="66">
          <cell r="D66">
            <v>5058</v>
          </cell>
          <cell r="E66">
            <v>3008</v>
          </cell>
          <cell r="F66">
            <v>2065</v>
          </cell>
          <cell r="G66">
            <v>0</v>
          </cell>
        </row>
        <row r="67">
          <cell r="D67">
            <v>4817</v>
          </cell>
          <cell r="E67">
            <v>5652</v>
          </cell>
          <cell r="F67">
            <v>2200</v>
          </cell>
          <cell r="G67">
            <v>0</v>
          </cell>
        </row>
        <row r="68">
          <cell r="D68">
            <v>2261</v>
          </cell>
          <cell r="E68">
            <v>1737</v>
          </cell>
          <cell r="F68">
            <v>3633</v>
          </cell>
          <cell r="G68">
            <v>0</v>
          </cell>
        </row>
        <row r="70">
          <cell r="D70">
            <v>2915</v>
          </cell>
          <cell r="E70">
            <v>1936</v>
          </cell>
          <cell r="F70">
            <v>2499</v>
          </cell>
          <cell r="G70">
            <v>0</v>
          </cell>
        </row>
        <row r="71">
          <cell r="D71">
            <v>1003</v>
          </cell>
          <cell r="E71">
            <v>876</v>
          </cell>
          <cell r="F71">
            <v>609</v>
          </cell>
          <cell r="G71">
            <v>0</v>
          </cell>
        </row>
        <row r="72">
          <cell r="D72">
            <v>843</v>
          </cell>
          <cell r="E72">
            <v>716</v>
          </cell>
          <cell r="F72">
            <v>695</v>
          </cell>
          <cell r="G72">
            <v>0</v>
          </cell>
        </row>
        <row r="73">
          <cell r="D73">
            <v>276</v>
          </cell>
          <cell r="E73">
            <v>275</v>
          </cell>
          <cell r="F73">
            <v>252</v>
          </cell>
          <cell r="G73">
            <v>0</v>
          </cell>
        </row>
        <row r="74">
          <cell r="D74">
            <v>751</v>
          </cell>
          <cell r="E74">
            <v>728</v>
          </cell>
          <cell r="F74">
            <v>409</v>
          </cell>
          <cell r="G74">
            <v>0</v>
          </cell>
        </row>
        <row r="75">
          <cell r="D75">
            <v>33</v>
          </cell>
          <cell r="E75">
            <v>19</v>
          </cell>
          <cell r="F75">
            <v>12</v>
          </cell>
          <cell r="G75">
            <v>0</v>
          </cell>
        </row>
        <row r="77">
          <cell r="D77">
            <v>545</v>
          </cell>
          <cell r="E77">
            <v>550</v>
          </cell>
          <cell r="F77">
            <v>433</v>
          </cell>
          <cell r="G77">
            <v>0</v>
          </cell>
        </row>
        <row r="78">
          <cell r="D78">
            <v>1430</v>
          </cell>
          <cell r="E78">
            <v>741</v>
          </cell>
          <cell r="F78">
            <v>389</v>
          </cell>
          <cell r="G78">
            <v>0</v>
          </cell>
        </row>
        <row r="79">
          <cell r="D79">
            <v>34</v>
          </cell>
          <cell r="E79">
            <v>52</v>
          </cell>
          <cell r="F79">
            <v>25</v>
          </cell>
          <cell r="G79">
            <v>0</v>
          </cell>
        </row>
        <row r="80">
          <cell r="D80">
            <v>14</v>
          </cell>
          <cell r="E80">
            <v>20</v>
          </cell>
          <cell r="F80">
            <v>8</v>
          </cell>
          <cell r="G80">
            <v>0</v>
          </cell>
        </row>
        <row r="81">
          <cell r="D81">
            <v>260</v>
          </cell>
          <cell r="E81">
            <v>76</v>
          </cell>
          <cell r="F81">
            <v>36</v>
          </cell>
          <cell r="G81">
            <v>0</v>
          </cell>
        </row>
        <row r="82">
          <cell r="D82">
            <v>56</v>
          </cell>
          <cell r="E82">
            <v>80</v>
          </cell>
          <cell r="F82">
            <v>380</v>
          </cell>
          <cell r="G82">
            <v>0</v>
          </cell>
        </row>
        <row r="93">
          <cell r="D93">
            <v>8777</v>
          </cell>
          <cell r="G93">
            <v>0</v>
          </cell>
        </row>
        <row r="94">
          <cell r="D94">
            <v>17152</v>
          </cell>
          <cell r="G94">
            <v>0</v>
          </cell>
        </row>
        <row r="95">
          <cell r="D95">
            <v>10211</v>
          </cell>
          <cell r="G95">
            <v>0</v>
          </cell>
        </row>
        <row r="96">
          <cell r="D96">
            <v>8456</v>
          </cell>
          <cell r="G96">
            <v>0</v>
          </cell>
        </row>
        <row r="97">
          <cell r="D97">
            <v>5562</v>
          </cell>
          <cell r="G97">
            <v>0</v>
          </cell>
        </row>
        <row r="98">
          <cell r="D98">
            <v>3197</v>
          </cell>
          <cell r="G98">
            <v>0</v>
          </cell>
        </row>
        <row r="100">
          <cell r="D100">
            <v>4648</v>
          </cell>
          <cell r="G100">
            <v>0</v>
          </cell>
        </row>
        <row r="101">
          <cell r="D101">
            <v>7436</v>
          </cell>
          <cell r="G101">
            <v>0</v>
          </cell>
        </row>
        <row r="102">
          <cell r="D102">
            <v>4546</v>
          </cell>
          <cell r="G102">
            <v>0</v>
          </cell>
        </row>
        <row r="103">
          <cell r="D103">
            <v>4071</v>
          </cell>
          <cell r="G103">
            <v>0</v>
          </cell>
        </row>
        <row r="104">
          <cell r="D104">
            <v>4416</v>
          </cell>
          <cell r="G104">
            <v>0</v>
          </cell>
        </row>
        <row r="105">
          <cell r="D105">
            <v>2371</v>
          </cell>
          <cell r="G105">
            <v>0</v>
          </cell>
        </row>
        <row r="107">
          <cell r="D107">
            <v>2672</v>
          </cell>
          <cell r="G107">
            <v>0</v>
          </cell>
        </row>
        <row r="108">
          <cell r="D108">
            <v>1795</v>
          </cell>
          <cell r="G108">
            <v>0</v>
          </cell>
        </row>
        <row r="109">
          <cell r="D109">
            <v>1126</v>
          </cell>
          <cell r="G109">
            <v>0</v>
          </cell>
        </row>
        <row r="110">
          <cell r="D110">
            <v>1817</v>
          </cell>
          <cell r="G110">
            <v>0</v>
          </cell>
        </row>
        <row r="111">
          <cell r="D111">
            <v>834</v>
          </cell>
          <cell r="G111">
            <v>0</v>
          </cell>
        </row>
        <row r="112">
          <cell r="D112">
            <v>34</v>
          </cell>
          <cell r="G112">
            <v>0</v>
          </cell>
        </row>
        <row r="114">
          <cell r="D114">
            <v>0</v>
          </cell>
          <cell r="G114">
            <v>0</v>
          </cell>
        </row>
        <row r="115">
          <cell r="D115">
            <v>1671</v>
          </cell>
          <cell r="G115">
            <v>0</v>
          </cell>
        </row>
        <row r="116">
          <cell r="D116">
            <v>207</v>
          </cell>
          <cell r="G116">
            <v>0</v>
          </cell>
        </row>
        <row r="117">
          <cell r="D117">
            <v>2869</v>
          </cell>
          <cell r="G117">
            <v>0</v>
          </cell>
        </row>
        <row r="118">
          <cell r="D118">
            <v>336</v>
          </cell>
          <cell r="G118">
            <v>0</v>
          </cell>
        </row>
        <row r="119">
          <cell r="D119">
            <v>216</v>
          </cell>
          <cell r="G11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Reports"/>
      <sheetName val="Historical"/>
      <sheetName val="Group Third Party Debt"/>
      <sheetName val="EastStarch"/>
      <sheetName val="Committed"/>
      <sheetName val="FRS13"/>
    </sheetNames>
    <sheetDataSet>
      <sheetData sheetId="0"/>
      <sheetData sheetId="1"/>
      <sheetData sheetId="2"/>
      <sheetData sheetId="3" refreshError="1">
        <row r="20">
          <cell r="A20" t="str">
            <v>Bank</v>
          </cell>
          <cell r="B20">
            <v>1</v>
          </cell>
        </row>
        <row r="21">
          <cell r="A21" t="str">
            <v>Capital</v>
          </cell>
          <cell r="B21">
            <v>0</v>
          </cell>
        </row>
        <row r="22">
          <cell r="A22">
            <v>0</v>
          </cell>
          <cell r="B2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Key Page"/>
      <sheetName val="Year to date £GBP"/>
      <sheetName val="Month £GBP"/>
      <sheetName val="BW Results"/>
      <sheetName val="FX Rates"/>
      <sheetName val="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3">
          <cell r="A23" t="str">
            <v>Consolidation unit</v>
          </cell>
          <cell r="B23" t="str">
            <v>Sales YTD Local</v>
          </cell>
          <cell r="C23" t="str">
            <v>Sales YTD £GBP AOP</v>
          </cell>
          <cell r="D23" t="str">
            <v>Sales MTD £GBP</v>
          </cell>
          <cell r="E23" t="str">
            <v>Sales MTD £GBP AOP</v>
          </cell>
          <cell r="F23" t="str">
            <v>PBIEA YTD Local</v>
          </cell>
          <cell r="G23" t="str">
            <v>PBIEA MTD £GBP</v>
          </cell>
          <cell r="H23" t="str">
            <v>PBTEA YTD Local</v>
          </cell>
          <cell r="I23" t="str">
            <v>PBTEA MTD £GBP</v>
          </cell>
          <cell r="J23" t="str">
            <v>Amortisation MTD £GBP</v>
          </cell>
          <cell r="K23" t="str">
            <v>Amortisation YTD £GBP</v>
          </cell>
          <cell r="L23" t="str">
            <v>Exceptionals MTD £GBP</v>
          </cell>
          <cell r="M23" t="str">
            <v>Exceptionals YTD £GBP</v>
          </cell>
        </row>
        <row r="24">
          <cell r="A24" t="str">
            <v>ABE</v>
          </cell>
          <cell r="B24">
            <v>-87473589.329999998</v>
          </cell>
          <cell r="C24">
            <v>-64149604.07</v>
          </cell>
          <cell r="D24">
            <v>-11760177.48</v>
          </cell>
          <cell r="E24">
            <v>-12953478.5</v>
          </cell>
          <cell r="F24">
            <v>-363350.44</v>
          </cell>
          <cell r="G24">
            <v>-290148.21999999997</v>
          </cell>
          <cell r="H24">
            <v>-340225.1</v>
          </cell>
          <cell r="I24">
            <v>-291827.18</v>
          </cell>
        </row>
        <row r="25">
          <cell r="A25" t="str">
            <v>ABU</v>
          </cell>
          <cell r="B25">
            <v>-23902750</v>
          </cell>
          <cell r="C25">
            <v>-9035379.1400000006</v>
          </cell>
          <cell r="D25">
            <v>-1891436.39</v>
          </cell>
          <cell r="E25">
            <v>-1991761.61</v>
          </cell>
          <cell r="F25">
            <v>-4513900</v>
          </cell>
          <cell r="G25">
            <v>-364407.9</v>
          </cell>
          <cell r="H25">
            <v>-4014550</v>
          </cell>
          <cell r="I25">
            <v>-332094.77</v>
          </cell>
          <cell r="J25">
            <v>4330.55</v>
          </cell>
          <cell r="K25">
            <v>21746.7</v>
          </cell>
        </row>
        <row r="26">
          <cell r="A26" t="str">
            <v>ACO</v>
          </cell>
          <cell r="F26">
            <v>9403.94</v>
          </cell>
          <cell r="G26">
            <v>1410.02</v>
          </cell>
          <cell r="H26">
            <v>-8134.37</v>
          </cell>
          <cell r="I26">
            <v>-105.47</v>
          </cell>
        </row>
        <row r="27">
          <cell r="A27" t="str">
            <v>ADE</v>
          </cell>
          <cell r="F27">
            <v>-369954.28</v>
          </cell>
          <cell r="G27">
            <v>-48871.86</v>
          </cell>
          <cell r="H27">
            <v>-389158</v>
          </cell>
          <cell r="I27">
            <v>-51347</v>
          </cell>
        </row>
        <row r="28">
          <cell r="A28" t="str">
            <v>AFR</v>
          </cell>
          <cell r="B28">
            <v>-73590018.890000001</v>
          </cell>
          <cell r="C28">
            <v>-55258625.57</v>
          </cell>
          <cell r="D28">
            <v>-7375465.4800000004</v>
          </cell>
          <cell r="E28">
            <v>-10984445.710000001</v>
          </cell>
          <cell r="F28">
            <v>-2018802.09</v>
          </cell>
          <cell r="G28">
            <v>2464226.9900000002</v>
          </cell>
          <cell r="H28">
            <v>-204751.64</v>
          </cell>
          <cell r="I28">
            <v>2709329.79</v>
          </cell>
          <cell r="L28">
            <v>-329.78</v>
          </cell>
          <cell r="M28">
            <v>-40051.129999999997</v>
          </cell>
        </row>
        <row r="29">
          <cell r="A29" t="str">
            <v>AHE</v>
          </cell>
          <cell r="B29">
            <v>-18961100</v>
          </cell>
          <cell r="C29">
            <v>-10383837.67</v>
          </cell>
          <cell r="D29">
            <v>-3715241.58</v>
          </cell>
          <cell r="E29">
            <v>-3260322.4</v>
          </cell>
          <cell r="F29">
            <v>-1981200</v>
          </cell>
          <cell r="G29">
            <v>-406987.03</v>
          </cell>
          <cell r="H29">
            <v>-2016200</v>
          </cell>
          <cell r="I29">
            <v>-410084.16</v>
          </cell>
        </row>
        <row r="30">
          <cell r="A30" t="str">
            <v>AIB</v>
          </cell>
          <cell r="B30">
            <v>-39352918.789999999</v>
          </cell>
          <cell r="C30">
            <v>-25287754.52</v>
          </cell>
          <cell r="D30">
            <v>-5234717.6500000004</v>
          </cell>
          <cell r="E30">
            <v>-5216346.1500000004</v>
          </cell>
          <cell r="F30">
            <v>-9185495.1300000008</v>
          </cell>
          <cell r="G30">
            <v>-1193830.23</v>
          </cell>
          <cell r="H30">
            <v>-8133547.4699999997</v>
          </cell>
          <cell r="I30">
            <v>-1055221.3899999999</v>
          </cell>
        </row>
        <row r="31">
          <cell r="A31" t="str">
            <v>AIT</v>
          </cell>
          <cell r="F31">
            <v>-78059.259999999995</v>
          </cell>
          <cell r="G31">
            <v>-1751.91</v>
          </cell>
          <cell r="H31">
            <v>-77754.12</v>
          </cell>
          <cell r="I31">
            <v>-1760.88</v>
          </cell>
        </row>
        <row r="32">
          <cell r="A32" t="str">
            <v>ALC</v>
          </cell>
          <cell r="B32">
            <v>-45455000</v>
          </cell>
          <cell r="C32">
            <v>-35988899.880000003</v>
          </cell>
          <cell r="D32">
            <v>-6540776.2699999996</v>
          </cell>
          <cell r="E32">
            <v>-6808257.9100000001</v>
          </cell>
          <cell r="F32">
            <v>-3214100</v>
          </cell>
          <cell r="G32">
            <v>-584411.06000000006</v>
          </cell>
          <cell r="H32">
            <v>-3443900</v>
          </cell>
          <cell r="I32">
            <v>-610840.56000000006</v>
          </cell>
        </row>
        <row r="33">
          <cell r="A33" t="str">
            <v>ALM</v>
          </cell>
          <cell r="B33">
            <v>-437536800</v>
          </cell>
          <cell r="C33">
            <v>-20705129.129999999</v>
          </cell>
          <cell r="D33">
            <v>-5019004.6500000004</v>
          </cell>
          <cell r="E33">
            <v>-4215706.82</v>
          </cell>
          <cell r="F33">
            <v>-45376050</v>
          </cell>
          <cell r="G33">
            <v>-531460.81000000006</v>
          </cell>
          <cell r="H33">
            <v>-42826600</v>
          </cell>
          <cell r="I33">
            <v>-592902.18999999994</v>
          </cell>
          <cell r="L33">
            <v>-591.26</v>
          </cell>
          <cell r="M33">
            <v>-267.89999999999998</v>
          </cell>
        </row>
        <row r="34">
          <cell r="A34" t="str">
            <v>AMA</v>
          </cell>
          <cell r="B34">
            <v>-62741767.32</v>
          </cell>
          <cell r="C34">
            <v>-4019473.79</v>
          </cell>
          <cell r="D34">
            <v>-653155.97</v>
          </cell>
          <cell r="E34">
            <v>-703395.82</v>
          </cell>
          <cell r="F34">
            <v>-8433901.2100000009</v>
          </cell>
          <cell r="G34">
            <v>-10027.83</v>
          </cell>
          <cell r="H34">
            <v>-8801294.5700000003</v>
          </cell>
          <cell r="I34">
            <v>-15858</v>
          </cell>
          <cell r="L34">
            <v>-669.64</v>
          </cell>
          <cell r="M34">
            <v>-1780.06</v>
          </cell>
        </row>
        <row r="35">
          <cell r="A35" t="str">
            <v>AMGADJ</v>
          </cell>
          <cell r="F35">
            <v>50000</v>
          </cell>
          <cell r="G35">
            <v>48.95</v>
          </cell>
          <cell r="H35">
            <v>50000</v>
          </cell>
          <cell r="I35">
            <v>48.95</v>
          </cell>
        </row>
        <row r="36">
          <cell r="A36" t="str">
            <v>AMU</v>
          </cell>
          <cell r="B36">
            <v>-46549624.100000001</v>
          </cell>
          <cell r="C36">
            <v>-41101300</v>
          </cell>
          <cell r="D36">
            <v>-10213073.060000001</v>
          </cell>
          <cell r="E36">
            <v>-9224100</v>
          </cell>
          <cell r="F36">
            <v>-4682483.46</v>
          </cell>
          <cell r="G36">
            <v>-1271983.46</v>
          </cell>
          <cell r="H36">
            <v>-4616288.62</v>
          </cell>
          <cell r="I36">
            <v>-1283668.71</v>
          </cell>
        </row>
        <row r="37">
          <cell r="A37" t="str">
            <v>ANE</v>
          </cell>
          <cell r="B37">
            <v>-51509971.700000003</v>
          </cell>
          <cell r="C37">
            <v>-31892251.129999999</v>
          </cell>
          <cell r="D37">
            <v>-6999698.6799999997</v>
          </cell>
          <cell r="E37">
            <v>-5899816.1799999997</v>
          </cell>
          <cell r="F37">
            <v>-7696362.4900000002</v>
          </cell>
          <cell r="G37">
            <v>-1276667.18</v>
          </cell>
          <cell r="H37">
            <v>-7396051.4000000004</v>
          </cell>
          <cell r="I37">
            <v>-1243773.76</v>
          </cell>
        </row>
        <row r="38">
          <cell r="A38" t="str">
            <v>ANI</v>
          </cell>
          <cell r="C38">
            <v>-13171947.4</v>
          </cell>
          <cell r="E38">
            <v>-2655578.96</v>
          </cell>
        </row>
        <row r="39">
          <cell r="A39" t="str">
            <v>ANI_TL</v>
          </cell>
          <cell r="B39">
            <v>-36485100</v>
          </cell>
          <cell r="D39">
            <v>-2698421.85</v>
          </cell>
          <cell r="F39">
            <v>-6231300</v>
          </cell>
          <cell r="G39">
            <v>-606685.25</v>
          </cell>
          <cell r="H39">
            <v>-6420700</v>
          </cell>
          <cell r="I39">
            <v>-616330.87</v>
          </cell>
          <cell r="J39">
            <v>4935.0600000000004</v>
          </cell>
          <cell r="K39">
            <v>23829.48</v>
          </cell>
        </row>
        <row r="40">
          <cell r="A40" t="str">
            <v>ARO</v>
          </cell>
          <cell r="B40">
            <v>12025799865</v>
          </cell>
          <cell r="C40">
            <v>-988424.41</v>
          </cell>
          <cell r="D40">
            <v>1253773.4099999999</v>
          </cell>
          <cell r="E40">
            <v>-213595.72</v>
          </cell>
          <cell r="F40">
            <v>2345727258</v>
          </cell>
          <cell r="G40">
            <v>244558.41</v>
          </cell>
          <cell r="H40">
            <v>2007827595</v>
          </cell>
          <cell r="I40">
            <v>209330.02</v>
          </cell>
        </row>
        <row r="41">
          <cell r="A41" t="str">
            <v>ARO_NL</v>
          </cell>
          <cell r="B41">
            <v>-8501163.9600000009</v>
          </cell>
          <cell r="D41">
            <v>-1617368.53</v>
          </cell>
          <cell r="F41">
            <v>-2217565.3199999998</v>
          </cell>
          <cell r="G41">
            <v>-421897.56</v>
          </cell>
          <cell r="H41">
            <v>-2006084.68</v>
          </cell>
          <cell r="I41">
            <v>-381662.82</v>
          </cell>
        </row>
        <row r="42">
          <cell r="A42" t="str">
            <v>ASL</v>
          </cell>
          <cell r="B42">
            <v>-491098100</v>
          </cell>
          <cell r="C42">
            <v>-9130547.3399999999</v>
          </cell>
          <cell r="D42">
            <v>-1626040.26</v>
          </cell>
          <cell r="E42">
            <v>-1987042.45</v>
          </cell>
          <cell r="F42">
            <v>-113677900</v>
          </cell>
          <cell r="G42">
            <v>-394306.82</v>
          </cell>
          <cell r="H42">
            <v>-113248600</v>
          </cell>
          <cell r="I42">
            <v>-388909.37</v>
          </cell>
          <cell r="J42">
            <v>964.33</v>
          </cell>
          <cell r="K42">
            <v>4773.42</v>
          </cell>
          <cell r="L42">
            <v>2902.81</v>
          </cell>
          <cell r="M42">
            <v>6427.44</v>
          </cell>
        </row>
        <row r="43">
          <cell r="A43" t="str">
            <v>AST</v>
          </cell>
          <cell r="B43">
            <v>-2807000</v>
          </cell>
          <cell r="C43">
            <v>-2449736.84</v>
          </cell>
          <cell r="D43">
            <v>-275607.83</v>
          </cell>
          <cell r="E43">
            <v>-541842.1</v>
          </cell>
          <cell r="F43">
            <v>2704550</v>
          </cell>
          <cell r="G43">
            <v>310648.64</v>
          </cell>
          <cell r="H43">
            <v>2763500</v>
          </cell>
          <cell r="I43">
            <v>318161.99</v>
          </cell>
        </row>
        <row r="44">
          <cell r="A44" t="str">
            <v>CAM</v>
          </cell>
          <cell r="F44">
            <v>300</v>
          </cell>
          <cell r="G44">
            <v>0.69</v>
          </cell>
          <cell r="H44">
            <v>300</v>
          </cell>
          <cell r="I44">
            <v>0.69</v>
          </cell>
        </row>
        <row r="45">
          <cell r="A45" t="str">
            <v>CAN</v>
          </cell>
          <cell r="H45">
            <v>104500</v>
          </cell>
          <cell r="I45">
            <v>23400</v>
          </cell>
        </row>
        <row r="46">
          <cell r="A46" t="str">
            <v>CBS</v>
          </cell>
          <cell r="B46">
            <v>-3507000</v>
          </cell>
          <cell r="C46">
            <v>-296512.37</v>
          </cell>
          <cell r="D46">
            <v>-59169.48</v>
          </cell>
          <cell r="E46">
            <v>-56055.81</v>
          </cell>
          <cell r="F46">
            <v>-685000</v>
          </cell>
          <cell r="G46">
            <v>-8024.59</v>
          </cell>
          <cell r="H46">
            <v>-710000</v>
          </cell>
          <cell r="I46">
            <v>-8470.27</v>
          </cell>
        </row>
        <row r="47">
          <cell r="A47" t="str">
            <v>COM</v>
          </cell>
          <cell r="B47">
            <v>-42100</v>
          </cell>
          <cell r="D47">
            <v>-17125.22</v>
          </cell>
          <cell r="F47">
            <v>-10200</v>
          </cell>
          <cell r="G47">
            <v>-3515.28</v>
          </cell>
          <cell r="H47">
            <v>-10400</v>
          </cell>
          <cell r="I47">
            <v>-3583.53</v>
          </cell>
          <cell r="J47">
            <v>0.15</v>
          </cell>
          <cell r="K47">
            <v>102.24</v>
          </cell>
        </row>
        <row r="48">
          <cell r="A48" t="str">
            <v>CUK</v>
          </cell>
          <cell r="B48">
            <v>-399262350</v>
          </cell>
          <cell r="C48">
            <v>-10628016.439999999</v>
          </cell>
          <cell r="D48">
            <v>-2323789.38</v>
          </cell>
          <cell r="E48">
            <v>-2087503.43</v>
          </cell>
          <cell r="F48">
            <v>-46370900</v>
          </cell>
          <cell r="G48">
            <v>-275988.53000000003</v>
          </cell>
          <cell r="H48">
            <v>-38593000</v>
          </cell>
          <cell r="I48">
            <v>-348918.62</v>
          </cell>
          <cell r="J48">
            <v>835.08</v>
          </cell>
          <cell r="K48">
            <v>5407.06</v>
          </cell>
          <cell r="L48">
            <v>-10651.61</v>
          </cell>
          <cell r="M48">
            <v>-12296.4</v>
          </cell>
        </row>
        <row r="49">
          <cell r="A49" t="str">
            <v>DOL</v>
          </cell>
          <cell r="B49">
            <v>-28978200</v>
          </cell>
          <cell r="C49">
            <v>-2514869.4</v>
          </cell>
          <cell r="D49">
            <v>-676939.23</v>
          </cell>
          <cell r="E49">
            <v>-537294.35</v>
          </cell>
          <cell r="F49">
            <v>-3422800</v>
          </cell>
          <cell r="G49">
            <v>-119066.47</v>
          </cell>
          <cell r="H49">
            <v>-3564600</v>
          </cell>
          <cell r="I49">
            <v>-117629.29</v>
          </cell>
          <cell r="L49">
            <v>-4.55</v>
          </cell>
          <cell r="M49">
            <v>-982.85</v>
          </cell>
        </row>
        <row r="50">
          <cell r="A50" t="str">
            <v>DUP</v>
          </cell>
          <cell r="B50">
            <v>-149150</v>
          </cell>
          <cell r="D50">
            <v>-343.1</v>
          </cell>
          <cell r="F50">
            <v>1504800</v>
          </cell>
          <cell r="G50">
            <v>302615.08</v>
          </cell>
          <cell r="H50">
            <v>1432750</v>
          </cell>
          <cell r="I50">
            <v>293377.45</v>
          </cell>
        </row>
        <row r="51">
          <cell r="A51" t="str">
            <v>EBR</v>
          </cell>
          <cell r="F51">
            <v>0</v>
          </cell>
          <cell r="G51">
            <v>-0.01</v>
          </cell>
          <cell r="H51">
            <v>1970899.57</v>
          </cell>
          <cell r="I51">
            <v>275205.05</v>
          </cell>
        </row>
        <row r="52">
          <cell r="A52" t="str">
            <v>ESB</v>
          </cell>
          <cell r="F52">
            <v>22400</v>
          </cell>
          <cell r="G52">
            <v>8121.53</v>
          </cell>
          <cell r="H52">
            <v>-53050</v>
          </cell>
          <cell r="I52">
            <v>-1549.33</v>
          </cell>
        </row>
        <row r="53">
          <cell r="A53" t="str">
            <v>ESC</v>
          </cell>
          <cell r="F53">
            <v>-37700</v>
          </cell>
          <cell r="G53">
            <v>-64493.31</v>
          </cell>
          <cell r="H53">
            <v>-139300</v>
          </cell>
          <cell r="I53">
            <v>-77286.66</v>
          </cell>
        </row>
        <row r="54">
          <cell r="A54" t="str">
            <v>ESK</v>
          </cell>
          <cell r="B54">
            <v>-11795000</v>
          </cell>
          <cell r="D54">
            <v>-32427.71</v>
          </cell>
          <cell r="F54">
            <v>-10372050</v>
          </cell>
          <cell r="G54">
            <v>-27858.3</v>
          </cell>
          <cell r="H54">
            <v>-10974900</v>
          </cell>
          <cell r="I54">
            <v>-28503.51</v>
          </cell>
          <cell r="L54">
            <v>675.52</v>
          </cell>
          <cell r="M54">
            <v>0</v>
          </cell>
        </row>
        <row r="55">
          <cell r="A55" t="str">
            <v>FRM</v>
          </cell>
          <cell r="B55">
            <v>-19753800</v>
          </cell>
          <cell r="C55">
            <v>-12609587.1</v>
          </cell>
          <cell r="D55">
            <v>-2971059.38</v>
          </cell>
          <cell r="E55">
            <v>-2152149.3199999998</v>
          </cell>
          <cell r="F55">
            <v>-1128100</v>
          </cell>
          <cell r="G55">
            <v>-89110.77</v>
          </cell>
          <cell r="H55">
            <v>-1121200</v>
          </cell>
          <cell r="I55">
            <v>-86449.53</v>
          </cell>
        </row>
        <row r="56">
          <cell r="A56" t="str">
            <v>FSL</v>
          </cell>
          <cell r="F56">
            <v>-39300</v>
          </cell>
          <cell r="G56">
            <v>100</v>
          </cell>
          <cell r="H56">
            <v>66700</v>
          </cell>
          <cell r="I56">
            <v>20000</v>
          </cell>
          <cell r="L56">
            <v>0</v>
          </cell>
          <cell r="M56">
            <v>-431200</v>
          </cell>
        </row>
        <row r="57">
          <cell r="A57" t="str">
            <v>GGP</v>
          </cell>
          <cell r="B57">
            <v>-174921000</v>
          </cell>
          <cell r="C57">
            <v>-11478080.630000001</v>
          </cell>
          <cell r="D57">
            <v>-2345130.1800000002</v>
          </cell>
          <cell r="E57">
            <v>-2324618.0699999998</v>
          </cell>
          <cell r="F57">
            <v>-1210000</v>
          </cell>
          <cell r="G57">
            <v>-4439.05</v>
          </cell>
          <cell r="H57">
            <v>-85000</v>
          </cell>
          <cell r="I57">
            <v>6037.79</v>
          </cell>
        </row>
        <row r="58">
          <cell r="A58" t="str">
            <v>HAN</v>
          </cell>
          <cell r="B58">
            <v>-2565000</v>
          </cell>
          <cell r="C58">
            <v>-3308116.52</v>
          </cell>
          <cell r="D58">
            <v>-372097.26</v>
          </cell>
          <cell r="E58">
            <v>-673783.94</v>
          </cell>
          <cell r="F58">
            <v>-99000</v>
          </cell>
          <cell r="G58">
            <v>13515.84</v>
          </cell>
          <cell r="H58">
            <v>-45000</v>
          </cell>
          <cell r="I58">
            <v>21055.72</v>
          </cell>
        </row>
        <row r="59">
          <cell r="A59" t="str">
            <v>HOI</v>
          </cell>
          <cell r="F59">
            <v>206400</v>
          </cell>
          <cell r="G59">
            <v>-63500</v>
          </cell>
          <cell r="H59">
            <v>-1320600</v>
          </cell>
          <cell r="I59">
            <v>-345000</v>
          </cell>
        </row>
        <row r="60">
          <cell r="A60" t="str">
            <v>HOL</v>
          </cell>
          <cell r="F60">
            <v>26000</v>
          </cell>
          <cell r="G60">
            <v>2748.01</v>
          </cell>
          <cell r="H60">
            <v>-1656000</v>
          </cell>
          <cell r="I60">
            <v>-218744.54</v>
          </cell>
          <cell r="L60">
            <v>0</v>
          </cell>
          <cell r="M60">
            <v>0</v>
          </cell>
        </row>
        <row r="61">
          <cell r="A61" t="str">
            <v>HUN</v>
          </cell>
          <cell r="B61">
            <v>-3753217150</v>
          </cell>
          <cell r="C61">
            <v>-8692825.4199999999</v>
          </cell>
          <cell r="D61">
            <v>-1972690.8</v>
          </cell>
          <cell r="E61">
            <v>-1751474.22</v>
          </cell>
          <cell r="F61">
            <v>-1209672450</v>
          </cell>
          <cell r="G61">
            <v>-511220.47999999998</v>
          </cell>
          <cell r="H61">
            <v>-1194977450</v>
          </cell>
          <cell r="I61">
            <v>-502261.01</v>
          </cell>
          <cell r="J61">
            <v>836.58</v>
          </cell>
          <cell r="K61">
            <v>5095.03</v>
          </cell>
        </row>
        <row r="62">
          <cell r="A62" t="str">
            <v>HUS</v>
          </cell>
          <cell r="F62">
            <v>380400</v>
          </cell>
          <cell r="G62">
            <v>62957.31</v>
          </cell>
          <cell r="H62">
            <v>14355900</v>
          </cell>
          <cell r="I62">
            <v>1157226.71</v>
          </cell>
        </row>
        <row r="63">
          <cell r="A63" t="str">
            <v>ISR</v>
          </cell>
          <cell r="B63">
            <v>-7456000</v>
          </cell>
          <cell r="C63">
            <v>-3662631.58</v>
          </cell>
          <cell r="D63">
            <v>-848922.83</v>
          </cell>
          <cell r="E63">
            <v>-738947.37</v>
          </cell>
          <cell r="F63">
            <v>-136000</v>
          </cell>
          <cell r="G63">
            <v>-68625.210000000006</v>
          </cell>
          <cell r="H63">
            <v>-136000</v>
          </cell>
          <cell r="I63">
            <v>-68625.210000000006</v>
          </cell>
        </row>
        <row r="64">
          <cell r="A64" t="str">
            <v>JUH</v>
          </cell>
          <cell r="B64">
            <v>-662164150</v>
          </cell>
          <cell r="C64">
            <v>-9290521.8399999999</v>
          </cell>
          <cell r="D64">
            <v>-3383349.3</v>
          </cell>
          <cell r="E64">
            <v>-1881445.79</v>
          </cell>
          <cell r="F64">
            <v>-102512150</v>
          </cell>
          <cell r="G64">
            <v>-632821.27</v>
          </cell>
          <cell r="H64">
            <v>-101926900</v>
          </cell>
          <cell r="I64">
            <v>-631525.32999999996</v>
          </cell>
          <cell r="J64">
            <v>24.37</v>
          </cell>
          <cell r="K64">
            <v>9643.36</v>
          </cell>
        </row>
        <row r="65">
          <cell r="A65" t="str">
            <v>KAB</v>
          </cell>
          <cell r="B65">
            <v>-5839410650</v>
          </cell>
          <cell r="C65">
            <v>-16485300.58</v>
          </cell>
          <cell r="D65">
            <v>-2050165.36</v>
          </cell>
          <cell r="E65">
            <v>-3446994.4</v>
          </cell>
          <cell r="F65">
            <v>-962846500</v>
          </cell>
          <cell r="G65">
            <v>-234466.19</v>
          </cell>
          <cell r="H65">
            <v>-881467150</v>
          </cell>
          <cell r="I65">
            <v>-119336.44</v>
          </cell>
          <cell r="J65">
            <v>0</v>
          </cell>
          <cell r="K65">
            <v>0</v>
          </cell>
          <cell r="L65">
            <v>-181258.38</v>
          </cell>
          <cell r="M65">
            <v>-181805.77</v>
          </cell>
        </row>
        <row r="66">
          <cell r="A66" t="str">
            <v>KAL</v>
          </cell>
          <cell r="H66">
            <v>-66000</v>
          </cell>
          <cell r="I66">
            <v>-12800</v>
          </cell>
        </row>
        <row r="67">
          <cell r="A67" t="str">
            <v>KNT</v>
          </cell>
          <cell r="F67">
            <v>-95000</v>
          </cell>
          <cell r="G67">
            <v>-20600</v>
          </cell>
          <cell r="H67">
            <v>-115200</v>
          </cell>
          <cell r="I67">
            <v>-24700</v>
          </cell>
        </row>
        <row r="68">
          <cell r="A68" t="str">
            <v>KOR</v>
          </cell>
          <cell r="B68">
            <v>-2865957000</v>
          </cell>
          <cell r="C68">
            <v>-1573810.54</v>
          </cell>
          <cell r="D68">
            <v>-356709.22</v>
          </cell>
          <cell r="E68">
            <v>-303150.07</v>
          </cell>
          <cell r="F68">
            <v>-454273700</v>
          </cell>
          <cell r="G68">
            <v>-88125.6</v>
          </cell>
          <cell r="H68">
            <v>-455964900</v>
          </cell>
          <cell r="I68">
            <v>-88128.19</v>
          </cell>
        </row>
        <row r="69">
          <cell r="A69" t="str">
            <v>LLC</v>
          </cell>
          <cell r="F69">
            <v>400300</v>
          </cell>
          <cell r="G69">
            <v>44695.39</v>
          </cell>
          <cell r="H69">
            <v>-17710100</v>
          </cell>
          <cell r="I69">
            <v>-1635587.44</v>
          </cell>
        </row>
        <row r="70">
          <cell r="A70" t="str">
            <v>MAG</v>
          </cell>
          <cell r="B70">
            <v>-1009500</v>
          </cell>
          <cell r="C70">
            <v>-482006.51</v>
          </cell>
          <cell r="D70">
            <v>-178975.01</v>
          </cell>
          <cell r="E70">
            <v>-96401.3</v>
          </cell>
          <cell r="F70">
            <v>-950000</v>
          </cell>
          <cell r="G70">
            <v>-170408.79</v>
          </cell>
          <cell r="H70">
            <v>-951000</v>
          </cell>
          <cell r="I70">
            <v>-170409.77</v>
          </cell>
        </row>
        <row r="71">
          <cell r="A71" t="str">
            <v>MCA</v>
          </cell>
          <cell r="B71">
            <v>-133993000</v>
          </cell>
          <cell r="C71">
            <v>-5940108.1200000001</v>
          </cell>
          <cell r="D71">
            <v>-1249342.08</v>
          </cell>
          <cell r="E71">
            <v>-1152082.03</v>
          </cell>
          <cell r="F71">
            <v>-3405700</v>
          </cell>
          <cell r="G71">
            <v>-46557.4</v>
          </cell>
          <cell r="H71">
            <v>-4336100</v>
          </cell>
          <cell r="I71">
            <v>1495.53</v>
          </cell>
        </row>
        <row r="72">
          <cell r="A72" t="str">
            <v>MEL</v>
          </cell>
          <cell r="B72">
            <v>-3741100</v>
          </cell>
          <cell r="C72">
            <v>-2961538.46</v>
          </cell>
          <cell r="D72">
            <v>-718604.21</v>
          </cell>
          <cell r="E72">
            <v>-659431.56000000006</v>
          </cell>
          <cell r="F72">
            <v>-21500</v>
          </cell>
          <cell r="G72">
            <v>-10979.33</v>
          </cell>
          <cell r="H72">
            <v>-23900</v>
          </cell>
          <cell r="I72">
            <v>-10981.68</v>
          </cell>
        </row>
        <row r="73">
          <cell r="A73" t="str">
            <v>MER</v>
          </cell>
          <cell r="B73">
            <v>-41393600</v>
          </cell>
          <cell r="C73">
            <v>-6918342.3600000003</v>
          </cell>
          <cell r="D73">
            <v>-2115259.56</v>
          </cell>
          <cell r="E73">
            <v>-1404616.18</v>
          </cell>
          <cell r="F73">
            <v>-5131600</v>
          </cell>
          <cell r="G73">
            <v>-225614.25</v>
          </cell>
          <cell r="H73">
            <v>-5662500</v>
          </cell>
          <cell r="I73">
            <v>-239232.15</v>
          </cell>
        </row>
        <row r="74">
          <cell r="A74" t="str">
            <v>MEX</v>
          </cell>
          <cell r="F74">
            <v>113000</v>
          </cell>
          <cell r="G74">
            <v>2653.78</v>
          </cell>
          <cell r="H74">
            <v>4501000</v>
          </cell>
          <cell r="I74">
            <v>-234461.67</v>
          </cell>
        </row>
        <row r="75">
          <cell r="A75" t="str">
            <v>MOH</v>
          </cell>
          <cell r="F75">
            <v>1433600</v>
          </cell>
          <cell r="G75">
            <v>314200</v>
          </cell>
          <cell r="H75">
            <v>712700</v>
          </cell>
          <cell r="I75">
            <v>165500</v>
          </cell>
        </row>
        <row r="76">
          <cell r="A76" t="str">
            <v>MTC</v>
          </cell>
          <cell r="F76">
            <v>18300</v>
          </cell>
          <cell r="G76">
            <v>0</v>
          </cell>
          <cell r="H76">
            <v>18300</v>
          </cell>
          <cell r="I76">
            <v>0</v>
          </cell>
        </row>
        <row r="77">
          <cell r="A77" t="str">
            <v>MTD</v>
          </cell>
          <cell r="B77">
            <v>-121531600</v>
          </cell>
          <cell r="C77">
            <v>-47201473.700000003</v>
          </cell>
          <cell r="D77">
            <v>-13261429.6</v>
          </cell>
          <cell r="E77">
            <v>-10597736.85</v>
          </cell>
          <cell r="F77">
            <v>-3778500</v>
          </cell>
          <cell r="G77">
            <v>-305550.13</v>
          </cell>
          <cell r="H77">
            <v>-3192000</v>
          </cell>
          <cell r="I77">
            <v>-205284.67</v>
          </cell>
        </row>
        <row r="78">
          <cell r="A78" t="str">
            <v>MXM</v>
          </cell>
          <cell r="F78">
            <v>0</v>
          </cell>
          <cell r="G78">
            <v>-0.01</v>
          </cell>
          <cell r="H78">
            <v>-111500</v>
          </cell>
          <cell r="I78">
            <v>-1755.79</v>
          </cell>
          <cell r="L78">
            <v>53162.239999999998</v>
          </cell>
          <cell r="M78">
            <v>59995.41</v>
          </cell>
        </row>
        <row r="79">
          <cell r="A79" t="str">
            <v>NAT</v>
          </cell>
          <cell r="B79">
            <v>-15544400</v>
          </cell>
          <cell r="C79">
            <v>-8038421.0499999998</v>
          </cell>
          <cell r="D79">
            <v>-2023210.29</v>
          </cell>
          <cell r="E79">
            <v>-1514157.89</v>
          </cell>
          <cell r="F79">
            <v>-7372400</v>
          </cell>
          <cell r="G79">
            <v>-1109793.02</v>
          </cell>
          <cell r="H79">
            <v>-7091300</v>
          </cell>
          <cell r="I79">
            <v>-1137072.48</v>
          </cell>
          <cell r="L79">
            <v>-603.67999999999995</v>
          </cell>
          <cell r="M79">
            <v>-603.67999999999995</v>
          </cell>
        </row>
        <row r="80">
          <cell r="A80" t="str">
            <v>NED</v>
          </cell>
          <cell r="B80">
            <v>-4661400</v>
          </cell>
          <cell r="C80">
            <v>-3720305.43</v>
          </cell>
          <cell r="D80">
            <v>-460794.63</v>
          </cell>
          <cell r="E80">
            <v>-671662.9</v>
          </cell>
          <cell r="F80">
            <v>-41000</v>
          </cell>
          <cell r="G80">
            <v>-4532.34</v>
          </cell>
          <cell r="H80">
            <v>-42200</v>
          </cell>
          <cell r="I80">
            <v>-4533.5200000000004</v>
          </cell>
        </row>
        <row r="81">
          <cell r="A81" t="str">
            <v>NGI</v>
          </cell>
          <cell r="F81">
            <v>1421</v>
          </cell>
          <cell r="G81">
            <v>1.39</v>
          </cell>
          <cell r="H81">
            <v>-212266.43</v>
          </cell>
          <cell r="I81">
            <v>-29468.45</v>
          </cell>
        </row>
        <row r="82">
          <cell r="A82" t="str">
            <v>NOR</v>
          </cell>
          <cell r="B82">
            <v>-6642000</v>
          </cell>
          <cell r="C82">
            <v>-619426.26</v>
          </cell>
          <cell r="D82">
            <v>-137773.10999999999</v>
          </cell>
          <cell r="E82">
            <v>-123885.25</v>
          </cell>
          <cell r="F82">
            <v>644200</v>
          </cell>
          <cell r="G82">
            <v>14678.59</v>
          </cell>
          <cell r="H82">
            <v>644200</v>
          </cell>
          <cell r="I82">
            <v>14678.59</v>
          </cell>
        </row>
        <row r="83">
          <cell r="A83" t="str">
            <v>OCC</v>
          </cell>
          <cell r="B83">
            <v>-600306840</v>
          </cell>
          <cell r="C83">
            <v>-28540124.66</v>
          </cell>
          <cell r="D83">
            <v>-5732397.3600000003</v>
          </cell>
          <cell r="E83">
            <v>-5547911.2699999996</v>
          </cell>
          <cell r="F83">
            <v>-64605520</v>
          </cell>
          <cell r="G83">
            <v>-388074.6</v>
          </cell>
          <cell r="H83">
            <v>-65644320</v>
          </cell>
          <cell r="I83">
            <v>-272802.81</v>
          </cell>
        </row>
        <row r="84">
          <cell r="A84" t="str">
            <v>OSU</v>
          </cell>
          <cell r="F84">
            <v>-195462.23</v>
          </cell>
          <cell r="G84">
            <v>-35763.1</v>
          </cell>
          <cell r="H84">
            <v>-195462.23</v>
          </cell>
          <cell r="I84">
            <v>-35763.1</v>
          </cell>
        </row>
        <row r="85">
          <cell r="A85" t="str">
            <v>PCM</v>
          </cell>
          <cell r="B85">
            <v>-22915000</v>
          </cell>
          <cell r="C85">
            <v>-1635766.08</v>
          </cell>
          <cell r="D85">
            <v>-467433.04</v>
          </cell>
          <cell r="E85">
            <v>-391563.35</v>
          </cell>
          <cell r="F85">
            <v>-3518000</v>
          </cell>
          <cell r="G85">
            <v>-98871.52</v>
          </cell>
          <cell r="H85">
            <v>-4882000</v>
          </cell>
          <cell r="I85">
            <v>-125466.03</v>
          </cell>
        </row>
        <row r="86">
          <cell r="A86" t="str">
            <v>PHI</v>
          </cell>
          <cell r="B86">
            <v>-237277000</v>
          </cell>
          <cell r="C86">
            <v>-1259577.47</v>
          </cell>
          <cell r="D86">
            <v>-217795.63</v>
          </cell>
          <cell r="E86">
            <v>-148340.17000000001</v>
          </cell>
          <cell r="F86">
            <v>-4262000</v>
          </cell>
          <cell r="G86">
            <v>-2848.59</v>
          </cell>
          <cell r="H86">
            <v>-4330000</v>
          </cell>
          <cell r="I86">
            <v>-3087.48</v>
          </cell>
        </row>
        <row r="87">
          <cell r="A87" t="str">
            <v>PLC</v>
          </cell>
          <cell r="F87">
            <v>11352300</v>
          </cell>
          <cell r="G87">
            <v>2712500</v>
          </cell>
          <cell r="H87">
            <v>18122900</v>
          </cell>
          <cell r="I87">
            <v>4335300</v>
          </cell>
          <cell r="L87">
            <v>0</v>
          </cell>
          <cell r="M87">
            <v>-17000</v>
          </cell>
        </row>
        <row r="88">
          <cell r="A88" t="str">
            <v>PLCS</v>
          </cell>
          <cell r="F88">
            <v>-3458126</v>
          </cell>
          <cell r="G88">
            <v>-541726</v>
          </cell>
          <cell r="H88">
            <v>-2394726</v>
          </cell>
          <cell r="I88">
            <v>-253926</v>
          </cell>
          <cell r="J88">
            <v>314600</v>
          </cell>
          <cell r="K88">
            <v>1572900</v>
          </cell>
        </row>
        <row r="89">
          <cell r="A89" t="str">
            <v>PRE</v>
          </cell>
          <cell r="B89">
            <v>-2059000</v>
          </cell>
          <cell r="C89">
            <v>-1389281.68</v>
          </cell>
          <cell r="D89">
            <v>-206887.56</v>
          </cell>
          <cell r="E89">
            <v>-209983.03</v>
          </cell>
          <cell r="F89">
            <v>-508000</v>
          </cell>
          <cell r="G89">
            <v>-10638.78</v>
          </cell>
          <cell r="H89">
            <v>-512500</v>
          </cell>
          <cell r="I89">
            <v>-10983.5</v>
          </cell>
        </row>
        <row r="90">
          <cell r="A90" t="str">
            <v>PRO</v>
          </cell>
          <cell r="B90">
            <v>-1789600</v>
          </cell>
          <cell r="C90">
            <v>-1845000</v>
          </cell>
          <cell r="D90">
            <v>-322700</v>
          </cell>
          <cell r="E90">
            <v>-455000</v>
          </cell>
          <cell r="F90">
            <v>-446600</v>
          </cell>
          <cell r="G90">
            <v>-18000</v>
          </cell>
          <cell r="H90">
            <v>-349100</v>
          </cell>
          <cell r="I90">
            <v>1200</v>
          </cell>
        </row>
        <row r="91">
          <cell r="A91" t="str">
            <v>REN</v>
          </cell>
          <cell r="F91">
            <v>7381000</v>
          </cell>
          <cell r="G91">
            <v>41571.49</v>
          </cell>
          <cell r="H91">
            <v>6729000</v>
          </cell>
          <cell r="I91">
            <v>-36438.19</v>
          </cell>
        </row>
        <row r="92">
          <cell r="A92" t="str">
            <v>RIS</v>
          </cell>
          <cell r="B92">
            <v>-152840000</v>
          </cell>
          <cell r="C92">
            <v>-71895696.659999996</v>
          </cell>
          <cell r="D92">
            <v>-13990285.27</v>
          </cell>
          <cell r="E92">
            <v>-13469011.75</v>
          </cell>
          <cell r="F92">
            <v>-11072000</v>
          </cell>
          <cell r="G92">
            <v>-1097040</v>
          </cell>
          <cell r="H92">
            <v>-11296000</v>
          </cell>
          <cell r="I92">
            <v>-1130228.07</v>
          </cell>
        </row>
        <row r="93">
          <cell r="A93" t="str">
            <v>RUK</v>
          </cell>
          <cell r="H93">
            <v>-147600</v>
          </cell>
          <cell r="I93">
            <v>-29000</v>
          </cell>
        </row>
        <row r="94">
          <cell r="A94" t="str">
            <v>SAO</v>
          </cell>
          <cell r="B94">
            <v>-8343150</v>
          </cell>
          <cell r="C94">
            <v>-5483243.7800000003</v>
          </cell>
          <cell r="D94">
            <v>-1094941.6399999999</v>
          </cell>
          <cell r="E94">
            <v>-1128817.8700000001</v>
          </cell>
          <cell r="F94">
            <v>-2643750</v>
          </cell>
          <cell r="G94">
            <v>-325754.86</v>
          </cell>
          <cell r="H94">
            <v>-2596400</v>
          </cell>
          <cell r="I94">
            <v>-319208.40999999997</v>
          </cell>
        </row>
        <row r="95">
          <cell r="A95" t="str">
            <v>SAR</v>
          </cell>
          <cell r="B95">
            <v>-1466000</v>
          </cell>
          <cell r="D95">
            <v>-162950.01</v>
          </cell>
          <cell r="F95">
            <v>-115000</v>
          </cell>
          <cell r="G95">
            <v>-8462.0499999999993</v>
          </cell>
          <cell r="H95">
            <v>-90000</v>
          </cell>
          <cell r="I95">
            <v>5804.44</v>
          </cell>
        </row>
        <row r="96">
          <cell r="A96" t="str">
            <v>SBE</v>
          </cell>
          <cell r="B96">
            <v>-383068889.38999999</v>
          </cell>
          <cell r="C96">
            <v>-258434601.24000001</v>
          </cell>
          <cell r="D96">
            <v>-53567863.539999999</v>
          </cell>
          <cell r="E96">
            <v>-51991233.030000001</v>
          </cell>
          <cell r="F96">
            <v>14683455.18</v>
          </cell>
          <cell r="G96">
            <v>-760569.05</v>
          </cell>
          <cell r="H96">
            <v>10603078.23</v>
          </cell>
          <cell r="I96">
            <v>-1305639.92</v>
          </cell>
          <cell r="J96">
            <v>136616.66</v>
          </cell>
          <cell r="K96">
            <v>340552.11</v>
          </cell>
        </row>
        <row r="97">
          <cell r="A97" t="str">
            <v>SED</v>
          </cell>
          <cell r="B97">
            <v>-21247150</v>
          </cell>
          <cell r="C97">
            <v>-13735612.279999999</v>
          </cell>
          <cell r="D97">
            <v>-2522619.59</v>
          </cell>
          <cell r="E97">
            <v>-2320842.7400000002</v>
          </cell>
          <cell r="F97">
            <v>-2251050</v>
          </cell>
          <cell r="G97">
            <v>-154326.10999999999</v>
          </cell>
          <cell r="H97">
            <v>-2221800</v>
          </cell>
          <cell r="I97">
            <v>-150179.63</v>
          </cell>
        </row>
        <row r="98">
          <cell r="A98" t="str">
            <v>SIG</v>
          </cell>
          <cell r="F98">
            <v>3363700</v>
          </cell>
          <cell r="G98">
            <v>556914.47</v>
          </cell>
          <cell r="H98">
            <v>2441700</v>
          </cell>
          <cell r="I98">
            <v>472982.64</v>
          </cell>
        </row>
        <row r="99">
          <cell r="A99" t="str">
            <v>SIGH</v>
          </cell>
          <cell r="F99">
            <v>300</v>
          </cell>
          <cell r="G99">
            <v>0.69</v>
          </cell>
          <cell r="H99">
            <v>300</v>
          </cell>
          <cell r="I99">
            <v>0.69</v>
          </cell>
        </row>
        <row r="100">
          <cell r="A100" t="str">
            <v>SLE</v>
          </cell>
          <cell r="B100">
            <v>-110681900</v>
          </cell>
          <cell r="C100">
            <v>-55700526.32</v>
          </cell>
          <cell r="D100">
            <v>-9720789.4700000007</v>
          </cell>
          <cell r="E100">
            <v>-9320526.3100000005</v>
          </cell>
          <cell r="F100">
            <v>-43856200</v>
          </cell>
          <cell r="G100">
            <v>-3809044.27</v>
          </cell>
          <cell r="H100">
            <v>-44947600</v>
          </cell>
          <cell r="I100">
            <v>-3866478.03</v>
          </cell>
        </row>
        <row r="101">
          <cell r="A101" t="str">
            <v>SRO</v>
          </cell>
          <cell r="F101">
            <v>-5642950</v>
          </cell>
          <cell r="G101">
            <v>-81693.91</v>
          </cell>
          <cell r="H101">
            <v>-5857550</v>
          </cell>
          <cell r="I101">
            <v>-83396.149999999994</v>
          </cell>
        </row>
        <row r="102">
          <cell r="A102" t="str">
            <v>STA</v>
          </cell>
          <cell r="B102">
            <v>-731927129.25</v>
          </cell>
          <cell r="C102">
            <v>-366606473.69</v>
          </cell>
          <cell r="D102">
            <v>-94192951.790000007</v>
          </cell>
          <cell r="E102">
            <v>-79025263.170000002</v>
          </cell>
          <cell r="F102">
            <v>-94812172.719999999</v>
          </cell>
          <cell r="G102">
            <v>-12214187.18</v>
          </cell>
          <cell r="H102">
            <v>-97171016.019999996</v>
          </cell>
          <cell r="I102">
            <v>-12607559.189999999</v>
          </cell>
          <cell r="L102">
            <v>-18345.87</v>
          </cell>
          <cell r="M102">
            <v>-79935.240000000005</v>
          </cell>
        </row>
        <row r="103">
          <cell r="A103" t="str">
            <v>STC</v>
          </cell>
          <cell r="F103">
            <v>-486459.67</v>
          </cell>
          <cell r="G103">
            <v>-67466.080000000002</v>
          </cell>
          <cell r="H103">
            <v>-492753.63</v>
          </cell>
          <cell r="I103">
            <v>-70285.36</v>
          </cell>
        </row>
        <row r="104">
          <cell r="A104" t="str">
            <v>SUC</v>
          </cell>
          <cell r="B104">
            <v>-43367148600</v>
          </cell>
          <cell r="C104">
            <v>-8027667.9900000002</v>
          </cell>
          <cell r="D104">
            <v>-2231513.4500000002</v>
          </cell>
          <cell r="E104">
            <v>-1750741.58</v>
          </cell>
          <cell r="F104">
            <v>-3040742850</v>
          </cell>
          <cell r="G104">
            <v>-216871.67999999999</v>
          </cell>
          <cell r="H104">
            <v>-2606402250</v>
          </cell>
          <cell r="I104">
            <v>-203903.34</v>
          </cell>
        </row>
        <row r="105">
          <cell r="A105" t="str">
            <v>SUH</v>
          </cell>
          <cell r="F105">
            <v>218900</v>
          </cell>
          <cell r="G105">
            <v>61602.12</v>
          </cell>
          <cell r="H105">
            <v>3923400</v>
          </cell>
          <cell r="I105">
            <v>553939.29</v>
          </cell>
        </row>
        <row r="106">
          <cell r="A106" t="str">
            <v>TAM</v>
          </cell>
          <cell r="B106">
            <v>-2811100</v>
          </cell>
          <cell r="C106">
            <v>-2215073.5299999998</v>
          </cell>
          <cell r="D106">
            <v>-355526.42</v>
          </cell>
          <cell r="E106">
            <v>-441883.49</v>
          </cell>
          <cell r="F106">
            <v>-298000</v>
          </cell>
          <cell r="G106">
            <v>-41061.93</v>
          </cell>
          <cell r="H106">
            <v>-300100</v>
          </cell>
          <cell r="I106">
            <v>-41063.980000000003</v>
          </cell>
        </row>
        <row r="107">
          <cell r="A107" t="str">
            <v>TCA</v>
          </cell>
          <cell r="B107">
            <v>-15173000</v>
          </cell>
          <cell r="C107">
            <v>-12004200</v>
          </cell>
          <cell r="D107">
            <v>-3102400</v>
          </cell>
          <cell r="E107">
            <v>-1936500</v>
          </cell>
          <cell r="F107">
            <v>735600</v>
          </cell>
          <cell r="G107">
            <v>54800</v>
          </cell>
          <cell r="H107">
            <v>1289000</v>
          </cell>
          <cell r="I107">
            <v>173500</v>
          </cell>
        </row>
        <row r="108">
          <cell r="A108" t="str">
            <v>TCU</v>
          </cell>
          <cell r="B108">
            <v>-40955300</v>
          </cell>
          <cell r="C108">
            <v>-18544789.48</v>
          </cell>
          <cell r="D108">
            <v>-4526427.4400000004</v>
          </cell>
          <cell r="E108">
            <v>-3755368.42</v>
          </cell>
          <cell r="F108">
            <v>-3409700</v>
          </cell>
          <cell r="G108">
            <v>-203107.62</v>
          </cell>
          <cell r="H108">
            <v>-1431700</v>
          </cell>
          <cell r="I108">
            <v>16544.47</v>
          </cell>
        </row>
        <row r="109">
          <cell r="A109" t="str">
            <v>TFP</v>
          </cell>
          <cell r="F109">
            <v>3334100</v>
          </cell>
          <cell r="G109">
            <v>360981.18</v>
          </cell>
          <cell r="H109">
            <v>3334100</v>
          </cell>
          <cell r="I109">
            <v>360981.18</v>
          </cell>
        </row>
        <row r="110">
          <cell r="A110" t="str">
            <v>TIH</v>
          </cell>
          <cell r="H110">
            <v>-142000</v>
          </cell>
          <cell r="I110">
            <v>-28800</v>
          </cell>
        </row>
        <row r="111">
          <cell r="A111" t="str">
            <v>TLB</v>
          </cell>
          <cell r="F111">
            <v>-989000</v>
          </cell>
          <cell r="G111">
            <v>-188084.69</v>
          </cell>
          <cell r="H111">
            <v>-970000</v>
          </cell>
          <cell r="I111">
            <v>-185854.98</v>
          </cell>
        </row>
        <row r="112">
          <cell r="A112" t="str">
            <v>TLE</v>
          </cell>
          <cell r="F112">
            <v>7500</v>
          </cell>
          <cell r="G112">
            <v>1028.3</v>
          </cell>
          <cell r="H112">
            <v>-1263900</v>
          </cell>
          <cell r="I112">
            <v>-215365.92</v>
          </cell>
        </row>
        <row r="113">
          <cell r="A113" t="str">
            <v>TLF</v>
          </cell>
          <cell r="F113">
            <v>2544375.59</v>
          </cell>
          <cell r="G113">
            <v>1235397.5900000001</v>
          </cell>
          <cell r="H113">
            <v>-1313924.4099999999</v>
          </cell>
          <cell r="I113">
            <v>301616.03999999998</v>
          </cell>
        </row>
        <row r="114">
          <cell r="A114" t="str">
            <v>TLH</v>
          </cell>
          <cell r="H114">
            <v>-400</v>
          </cell>
          <cell r="I114">
            <v>300</v>
          </cell>
        </row>
        <row r="115">
          <cell r="A115" t="str">
            <v>TLI</v>
          </cell>
          <cell r="B115">
            <v>-560522000</v>
          </cell>
          <cell r="C115">
            <v>-216597894.74000001</v>
          </cell>
          <cell r="D115">
            <v>-73698649.430000007</v>
          </cell>
          <cell r="E115">
            <v>-40920000</v>
          </cell>
          <cell r="F115">
            <v>-12968000</v>
          </cell>
          <cell r="G115">
            <v>-1667141.8</v>
          </cell>
          <cell r="H115">
            <v>-13542600</v>
          </cell>
          <cell r="I115">
            <v>-1761259.1</v>
          </cell>
        </row>
        <row r="116">
          <cell r="A116" t="str">
            <v>TLM</v>
          </cell>
          <cell r="F116">
            <v>12000</v>
          </cell>
          <cell r="G116">
            <v>-1065.3900000000001</v>
          </cell>
          <cell r="H116">
            <v>0</v>
          </cell>
          <cell r="I116">
            <v>-2732.49</v>
          </cell>
        </row>
        <row r="117">
          <cell r="A117" t="str">
            <v>TLP</v>
          </cell>
          <cell r="B117">
            <v>-345300</v>
          </cell>
          <cell r="C117">
            <v>-241091.63</v>
          </cell>
          <cell r="D117">
            <v>-51045.54</v>
          </cell>
          <cell r="E117">
            <v>-48218.33</v>
          </cell>
          <cell r="F117">
            <v>-80000</v>
          </cell>
          <cell r="G117">
            <v>-13486.87</v>
          </cell>
          <cell r="H117">
            <v>-82400</v>
          </cell>
          <cell r="I117">
            <v>-13829.54</v>
          </cell>
        </row>
        <row r="118">
          <cell r="A118" t="str">
            <v>TLS</v>
          </cell>
          <cell r="B118">
            <v>-194792661.30000001</v>
          </cell>
          <cell r="C118">
            <v>-214172200</v>
          </cell>
          <cell r="D118">
            <v>-38405057.32</v>
          </cell>
          <cell r="E118">
            <v>-41883600</v>
          </cell>
          <cell r="F118">
            <v>-10724863.6</v>
          </cell>
          <cell r="G118">
            <v>-1686759.96</v>
          </cell>
          <cell r="H118">
            <v>-10049274.119999999</v>
          </cell>
          <cell r="I118">
            <v>-1530775.44</v>
          </cell>
          <cell r="J118">
            <v>22770</v>
          </cell>
          <cell r="K118">
            <v>165412</v>
          </cell>
          <cell r="L118">
            <v>0</v>
          </cell>
          <cell r="M118">
            <v>-22123.200000000001</v>
          </cell>
        </row>
        <row r="119">
          <cell r="A119" t="str">
            <v>TLV</v>
          </cell>
          <cell r="H119">
            <v>15453600</v>
          </cell>
          <cell r="I119">
            <v>3270100</v>
          </cell>
        </row>
        <row r="120">
          <cell r="A120" t="str">
            <v>TOH</v>
          </cell>
          <cell r="F120">
            <v>1979700</v>
          </cell>
          <cell r="G120">
            <v>382200</v>
          </cell>
          <cell r="H120">
            <v>1605700</v>
          </cell>
          <cell r="I120">
            <v>268500</v>
          </cell>
        </row>
        <row r="121">
          <cell r="A121" t="str">
            <v>UME</v>
          </cell>
          <cell r="B121">
            <v>-2765500</v>
          </cell>
          <cell r="C121">
            <v>-1934035.63</v>
          </cell>
          <cell r="D121">
            <v>-341392.57</v>
          </cell>
          <cell r="E121">
            <v>-386807.12</v>
          </cell>
          <cell r="F121">
            <v>-122000</v>
          </cell>
          <cell r="G121">
            <v>-17067.310000000001</v>
          </cell>
          <cell r="H121">
            <v>-129000</v>
          </cell>
          <cell r="I121">
            <v>-17754.8</v>
          </cell>
        </row>
        <row r="122">
          <cell r="A122" t="str">
            <v>UMI</v>
          </cell>
          <cell r="B122">
            <v>-2149000</v>
          </cell>
          <cell r="C122">
            <v>-1788000</v>
          </cell>
          <cell r="D122">
            <v>-359000</v>
          </cell>
          <cell r="E122">
            <v>-316000</v>
          </cell>
          <cell r="F122">
            <v>-413800</v>
          </cell>
          <cell r="G122">
            <v>-38400</v>
          </cell>
          <cell r="H122">
            <v>-403800</v>
          </cell>
          <cell r="I122">
            <v>-37400</v>
          </cell>
        </row>
        <row r="123">
          <cell r="A123" t="str">
            <v>UMK</v>
          </cell>
          <cell r="B123">
            <v>-6812000</v>
          </cell>
          <cell r="C123">
            <v>-6312700</v>
          </cell>
          <cell r="D123">
            <v>-1265400</v>
          </cell>
          <cell r="E123">
            <v>-1127500</v>
          </cell>
          <cell r="F123">
            <v>-252800</v>
          </cell>
          <cell r="G123">
            <v>-68800</v>
          </cell>
          <cell r="H123">
            <v>-500100</v>
          </cell>
          <cell r="I123">
            <v>-125600</v>
          </cell>
          <cell r="L123">
            <v>0</v>
          </cell>
          <cell r="M123">
            <v>0</v>
          </cell>
        </row>
        <row r="124">
          <cell r="A124" t="str">
            <v>UNS</v>
          </cell>
          <cell r="B124">
            <v>-4726000</v>
          </cell>
          <cell r="C124">
            <v>-3912500</v>
          </cell>
          <cell r="D124">
            <v>-924900</v>
          </cell>
          <cell r="E124">
            <v>-782500</v>
          </cell>
          <cell r="F124">
            <v>-1021200</v>
          </cell>
          <cell r="G124">
            <v>-124500</v>
          </cell>
          <cell r="H124">
            <v>-1011400</v>
          </cell>
          <cell r="I124">
            <v>-119300</v>
          </cell>
          <cell r="L124">
            <v>0</v>
          </cell>
          <cell r="M124">
            <v>0</v>
          </cell>
        </row>
        <row r="125">
          <cell r="A125" t="str">
            <v>Overall Result</v>
          </cell>
          <cell r="B125">
            <v>-49969982309.029999</v>
          </cell>
          <cell r="C125">
            <v>-1772260862.0599999</v>
          </cell>
          <cell r="D125">
            <v>-409382646.27999997</v>
          </cell>
          <cell r="E125">
            <v>-356186692.69</v>
          </cell>
          <cell r="F125">
            <v>-3933692214.1900001</v>
          </cell>
          <cell r="G125">
            <v>-26175364.34</v>
          </cell>
          <cell r="H125">
            <v>-3718923910.0100002</v>
          </cell>
          <cell r="I125">
            <v>-23237150.640000001</v>
          </cell>
          <cell r="J125">
            <v>485912.78</v>
          </cell>
          <cell r="K125">
            <v>2149461.4</v>
          </cell>
          <cell r="L125">
            <v>-155714.20000000001</v>
          </cell>
          <cell r="M125">
            <v>-721623.38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FRS13"/>
    </sheetNames>
    <sheetDataSet>
      <sheetData sheetId="0"/>
      <sheetData sheetId="1"/>
      <sheetData sheetId="2"/>
      <sheetData sheetId="3">
        <row r="7">
          <cell r="A7" t="str">
            <v>EURO</v>
          </cell>
          <cell r="B7">
            <v>1.4484999999999999</v>
          </cell>
        </row>
        <row r="8">
          <cell r="A8" t="str">
            <v>USD</v>
          </cell>
          <cell r="B8">
            <v>1.5806500000000001</v>
          </cell>
        </row>
        <row r="9">
          <cell r="A9" t="str">
            <v>GBP</v>
          </cell>
          <cell r="B9">
            <v>1</v>
          </cell>
        </row>
        <row r="10">
          <cell r="A10" t="str">
            <v>FFR</v>
          </cell>
          <cell r="B10">
            <v>9.5015371449999986</v>
          </cell>
        </row>
        <row r="11">
          <cell r="A11" t="str">
            <v>DM</v>
          </cell>
          <cell r="B11">
            <v>2.8330197549999996</v>
          </cell>
        </row>
        <row r="12">
          <cell r="A12" t="str">
            <v>AUD</v>
          </cell>
          <cell r="B12">
            <v>2.6156999999999999</v>
          </cell>
        </row>
        <row r="13">
          <cell r="A13" t="str">
            <v>CAD</v>
          </cell>
          <cell r="B13">
            <v>2.3250500000000001</v>
          </cell>
        </row>
        <row r="14">
          <cell r="A14" t="str">
            <v>OTHER</v>
          </cell>
          <cell r="B14">
            <v>1</v>
          </cell>
        </row>
        <row r="15">
          <cell r="A15" t="str">
            <v>BFR</v>
          </cell>
          <cell r="B15">
            <v>58.432345149999996</v>
          </cell>
        </row>
        <row r="16">
          <cell r="A16">
            <v>0</v>
          </cell>
          <cell r="B16">
            <v>1</v>
          </cell>
        </row>
        <row r="26">
          <cell r="A26" t="str">
            <v>Drawn</v>
          </cell>
          <cell r="B26">
            <v>1</v>
          </cell>
        </row>
        <row r="27">
          <cell r="A27" t="str">
            <v>Undrawn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32">
          <cell r="A32" t="str">
            <v>Long</v>
          </cell>
          <cell r="B32">
            <v>1</v>
          </cell>
        </row>
        <row r="33">
          <cell r="A33" t="str">
            <v>Short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8">
          <cell r="A38" t="str">
            <v>T&amp;L</v>
          </cell>
          <cell r="B38">
            <v>0</v>
          </cell>
        </row>
        <row r="39">
          <cell r="A39" t="str">
            <v>Amylum</v>
          </cell>
          <cell r="B39">
            <v>1</v>
          </cell>
        </row>
        <row r="40">
          <cell r="A40">
            <v>0</v>
          </cell>
          <cell r="B40">
            <v>0</v>
          </cell>
        </row>
        <row r="44">
          <cell r="A44" t="str">
            <v>V</v>
          </cell>
          <cell r="B44">
            <v>1</v>
          </cell>
        </row>
        <row r="45">
          <cell r="A45" t="str">
            <v>F</v>
          </cell>
          <cell r="B45">
            <v>0</v>
          </cell>
        </row>
        <row r="46">
          <cell r="A46">
            <v>1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51">
          <cell r="A51" t="str">
            <v>$Libor</v>
          </cell>
          <cell r="B51">
            <v>4.03125</v>
          </cell>
        </row>
        <row r="52">
          <cell r="A52" t="str">
            <v>£Libor</v>
          </cell>
          <cell r="B52">
            <v>5.15625</v>
          </cell>
        </row>
        <row r="53">
          <cell r="A53" t="str">
            <v>$Prime</v>
          </cell>
          <cell r="B53">
            <v>4.5</v>
          </cell>
        </row>
        <row r="54">
          <cell r="A54" t="str">
            <v>Euribor</v>
          </cell>
          <cell r="B54">
            <v>4.5</v>
          </cell>
        </row>
        <row r="55">
          <cell r="A55">
            <v>0</v>
          </cell>
          <cell r="B55">
            <v>0</v>
          </cell>
        </row>
        <row r="59">
          <cell r="A59" t="str">
            <v>Debt</v>
          </cell>
          <cell r="B59">
            <v>1</v>
          </cell>
        </row>
        <row r="60">
          <cell r="A60" t="str">
            <v>Derivative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5">
          <cell r="A65" t="str">
            <v>F</v>
          </cell>
          <cell r="B65">
            <v>1</v>
          </cell>
        </row>
        <row r="66">
          <cell r="A66" t="str">
            <v>V</v>
          </cell>
          <cell r="B66">
            <v>0</v>
          </cell>
        </row>
        <row r="67">
          <cell r="A67">
            <v>1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72">
          <cell r="A72" t="str">
            <v>CAP</v>
          </cell>
          <cell r="B72">
            <v>1</v>
          </cell>
        </row>
        <row r="73">
          <cell r="A73" t="str">
            <v>Bilateral</v>
          </cell>
          <cell r="B73">
            <v>0</v>
          </cell>
        </row>
        <row r="74">
          <cell r="A74" t="str">
            <v>Eurobond</v>
          </cell>
          <cell r="B74">
            <v>0</v>
          </cell>
        </row>
        <row r="75">
          <cell r="A75" t="str">
            <v>IRS</v>
          </cell>
          <cell r="B75">
            <v>0</v>
          </cell>
        </row>
        <row r="76">
          <cell r="A76" t="str">
            <v>Syndicated</v>
          </cell>
          <cell r="B76">
            <v>0</v>
          </cell>
        </row>
        <row r="77">
          <cell r="A77" t="str">
            <v>Currency Swap</v>
          </cell>
          <cell r="B77">
            <v>0</v>
          </cell>
        </row>
        <row r="78">
          <cell r="A78">
            <v>0</v>
          </cell>
          <cell r="B78">
            <v>0</v>
          </cell>
        </row>
      </sheetData>
      <sheetData sheetId="4">
        <row r="11">
          <cell r="C11" t="str">
            <v>T&amp;L</v>
          </cell>
          <cell r="D11" t="str">
            <v>Debt</v>
          </cell>
          <cell r="E11" t="str">
            <v>Bilateral</v>
          </cell>
          <cell r="H11" t="str">
            <v>Bank</v>
          </cell>
          <cell r="I11" t="str">
            <v>Long</v>
          </cell>
          <cell r="N11" t="str">
            <v>Drawn</v>
          </cell>
          <cell r="Q11" t="str">
            <v>V</v>
          </cell>
          <cell r="R11">
            <v>0</v>
          </cell>
          <cell r="T11" t="str">
            <v>$Libor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C12" t="str">
            <v>T&amp;L</v>
          </cell>
          <cell r="D12" t="str">
            <v>Debt</v>
          </cell>
          <cell r="E12" t="str">
            <v>Eurobond</v>
          </cell>
          <cell r="H12" t="str">
            <v>Capital</v>
          </cell>
          <cell r="I12" t="str">
            <v>Long</v>
          </cell>
          <cell r="N12" t="str">
            <v>Drawn</v>
          </cell>
          <cell r="Q12" t="str">
            <v>F</v>
          </cell>
          <cell r="R12">
            <v>0</v>
          </cell>
          <cell r="T12">
            <v>0</v>
          </cell>
          <cell r="AS12">
            <v>3.5205479452054793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206.03648180876769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206.03648180876769</v>
          </cell>
          <cell r="BG12">
            <v>725.36131266922325</v>
          </cell>
        </row>
        <row r="13">
          <cell r="C13" t="str">
            <v>T&amp;L</v>
          </cell>
          <cell r="D13" t="str">
            <v>Debt</v>
          </cell>
          <cell r="E13" t="str">
            <v>Eurobond</v>
          </cell>
          <cell r="H13" t="str">
            <v>Capital</v>
          </cell>
          <cell r="I13" t="str">
            <v>Long</v>
          </cell>
          <cell r="N13" t="str">
            <v>Drawn</v>
          </cell>
          <cell r="Q13" t="str">
            <v>F</v>
          </cell>
          <cell r="R13">
            <v>0</v>
          </cell>
          <cell r="T13">
            <v>0</v>
          </cell>
          <cell r="AS13">
            <v>9.2520547945205482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198.03000631</v>
          </cell>
          <cell r="BE13">
            <v>0</v>
          </cell>
          <cell r="BF13">
            <v>198.03000631</v>
          </cell>
          <cell r="BG13">
            <v>1832.18446933937</v>
          </cell>
        </row>
        <row r="14">
          <cell r="C14" t="str">
            <v>T&amp;L</v>
          </cell>
          <cell r="D14" t="str">
            <v>Debt</v>
          </cell>
          <cell r="E14" t="str">
            <v>Bilateral</v>
          </cell>
          <cell r="H14" t="str">
            <v>Bank</v>
          </cell>
          <cell r="I14" t="str">
            <v>Long</v>
          </cell>
          <cell r="N14" t="str">
            <v>Drawn</v>
          </cell>
          <cell r="Q14" t="str">
            <v>V</v>
          </cell>
          <cell r="R14">
            <v>0</v>
          </cell>
          <cell r="T14" t="str">
            <v>$Libor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C15" t="str">
            <v>T&amp;L</v>
          </cell>
          <cell r="D15" t="str">
            <v>Debt</v>
          </cell>
          <cell r="E15" t="str">
            <v>Bilateral</v>
          </cell>
          <cell r="H15" t="str">
            <v>Bank</v>
          </cell>
          <cell r="I15" t="str">
            <v>Long</v>
          </cell>
          <cell r="N15" t="str">
            <v>Drawn</v>
          </cell>
          <cell r="Q15" t="str">
            <v>V</v>
          </cell>
          <cell r="R15">
            <v>0</v>
          </cell>
          <cell r="T15" t="str">
            <v>$Libor</v>
          </cell>
          <cell r="AS15">
            <v>0.14246575342465753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</row>
        <row r="16">
          <cell r="C16" t="str">
            <v>T&amp;L</v>
          </cell>
          <cell r="D16" t="str">
            <v>Debt</v>
          </cell>
          <cell r="E16" t="str">
            <v>Bilateral</v>
          </cell>
          <cell r="H16" t="str">
            <v>Bank</v>
          </cell>
          <cell r="I16" t="str">
            <v>Long</v>
          </cell>
          <cell r="N16" t="str">
            <v>Drawn</v>
          </cell>
          <cell r="Q16" t="str">
            <v>V</v>
          </cell>
          <cell r="R16">
            <v>0</v>
          </cell>
          <cell r="T16" t="str">
            <v>$Libor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</row>
        <row r="17">
          <cell r="C17" t="str">
            <v>T&amp;L</v>
          </cell>
          <cell r="D17" t="str">
            <v>Debt</v>
          </cell>
          <cell r="E17" t="str">
            <v>Bilateral</v>
          </cell>
          <cell r="H17" t="str">
            <v>Bank</v>
          </cell>
          <cell r="I17" t="str">
            <v>Long</v>
          </cell>
          <cell r="N17" t="str">
            <v>Drawn</v>
          </cell>
          <cell r="Q17" t="str">
            <v>V</v>
          </cell>
          <cell r="R17">
            <v>0</v>
          </cell>
          <cell r="T17" t="str">
            <v>$Libor</v>
          </cell>
          <cell r="AS17">
            <v>0.14246575342465753</v>
          </cell>
          <cell r="AT17">
            <v>12.653022490747476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12.653022490747476</v>
          </cell>
          <cell r="BG17">
            <v>1.8026223822434762</v>
          </cell>
        </row>
        <row r="18">
          <cell r="C18" t="str">
            <v>T&amp;L</v>
          </cell>
          <cell r="D18" t="str">
            <v>Debt</v>
          </cell>
          <cell r="E18" t="str">
            <v>Bilateral</v>
          </cell>
          <cell r="H18" t="str">
            <v>Bank</v>
          </cell>
          <cell r="I18" t="str">
            <v>Long</v>
          </cell>
          <cell r="N18" t="str">
            <v>Drawn</v>
          </cell>
          <cell r="Q18" t="str">
            <v>V</v>
          </cell>
          <cell r="R18">
            <v>0</v>
          </cell>
          <cell r="T18" t="str">
            <v>$Libor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</row>
        <row r="19">
          <cell r="C19" t="str">
            <v>T&amp;L</v>
          </cell>
          <cell r="D19" t="str">
            <v>Debt</v>
          </cell>
          <cell r="E19" t="str">
            <v>Bilateral</v>
          </cell>
          <cell r="H19" t="str">
            <v>Bank</v>
          </cell>
          <cell r="I19" t="str">
            <v>Long</v>
          </cell>
          <cell r="N19" t="str">
            <v>Undrawn</v>
          </cell>
          <cell r="Q19" t="str">
            <v>V</v>
          </cell>
          <cell r="R19">
            <v>0</v>
          </cell>
          <cell r="T19" t="str">
            <v>$Libor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</row>
        <row r="20">
          <cell r="C20" t="str">
            <v>T&amp;L</v>
          </cell>
          <cell r="D20" t="str">
            <v>Debt</v>
          </cell>
          <cell r="E20" t="str">
            <v>Bilateral</v>
          </cell>
          <cell r="H20" t="str">
            <v>Bank</v>
          </cell>
          <cell r="I20" t="str">
            <v>Long</v>
          </cell>
          <cell r="N20" t="str">
            <v>Undrawn</v>
          </cell>
          <cell r="Q20" t="str">
            <v>V</v>
          </cell>
          <cell r="R20">
            <v>0</v>
          </cell>
          <cell r="T20" t="str">
            <v>$Libor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C21" t="str">
            <v>T&amp;L</v>
          </cell>
          <cell r="D21" t="str">
            <v>Debt</v>
          </cell>
          <cell r="E21" t="str">
            <v>Bilateral</v>
          </cell>
          <cell r="H21" t="str">
            <v>Bank</v>
          </cell>
          <cell r="I21" t="str">
            <v>Long</v>
          </cell>
          <cell r="N21" t="str">
            <v>Undrawn</v>
          </cell>
          <cell r="Q21" t="str">
            <v>V</v>
          </cell>
          <cell r="R21">
            <v>0</v>
          </cell>
          <cell r="T21" t="str">
            <v>$Libor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</row>
        <row r="22">
          <cell r="C22" t="str">
            <v>T&amp;L</v>
          </cell>
          <cell r="D22" t="str">
            <v>Debt</v>
          </cell>
          <cell r="E22" t="str">
            <v>Syndicated</v>
          </cell>
          <cell r="H22" t="str">
            <v>Bank</v>
          </cell>
          <cell r="I22" t="str">
            <v>Long</v>
          </cell>
          <cell r="N22" t="str">
            <v>Drawn</v>
          </cell>
          <cell r="Q22" t="str">
            <v>V</v>
          </cell>
          <cell r="R22">
            <v>0</v>
          </cell>
          <cell r="T22" t="str">
            <v>£Libor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C23" t="str">
            <v>T&amp;L</v>
          </cell>
          <cell r="D23" t="str">
            <v>Debt</v>
          </cell>
          <cell r="E23" t="str">
            <v>Syndicated</v>
          </cell>
          <cell r="H23" t="str">
            <v>Bank</v>
          </cell>
          <cell r="I23" t="str">
            <v>Long</v>
          </cell>
          <cell r="N23" t="str">
            <v>Drawn</v>
          </cell>
          <cell r="Q23" t="str">
            <v>V</v>
          </cell>
          <cell r="R23">
            <v>0</v>
          </cell>
          <cell r="T23" t="str">
            <v>£Libor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C24" t="str">
            <v>T&amp;L</v>
          </cell>
          <cell r="D24" t="str">
            <v>Debt</v>
          </cell>
          <cell r="E24" t="str">
            <v>Syndicated</v>
          </cell>
          <cell r="H24" t="str">
            <v>Bank</v>
          </cell>
          <cell r="I24" t="str">
            <v>Long</v>
          </cell>
          <cell r="N24" t="str">
            <v>Drawn</v>
          </cell>
          <cell r="Q24" t="str">
            <v>V</v>
          </cell>
          <cell r="R24">
            <v>0</v>
          </cell>
          <cell r="T24" t="str">
            <v>£Libor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C25" t="str">
            <v>T&amp;L</v>
          </cell>
          <cell r="D25" t="str">
            <v>Debt</v>
          </cell>
          <cell r="E25" t="str">
            <v>Eurobond</v>
          </cell>
          <cell r="H25" t="str">
            <v>Capital</v>
          </cell>
          <cell r="I25" t="str">
            <v>Long</v>
          </cell>
          <cell r="N25" t="str">
            <v>Drawn</v>
          </cell>
          <cell r="AS25">
            <v>3.8547945205479452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102.83726298929928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102.83726298929928</v>
          </cell>
          <cell r="BG25">
            <v>396.41651787929885</v>
          </cell>
        </row>
        <row r="26">
          <cell r="C26" t="str">
            <v>T&amp;L</v>
          </cell>
          <cell r="D26" t="str">
            <v>Debt</v>
          </cell>
          <cell r="E26" t="str">
            <v>Bilateral</v>
          </cell>
          <cell r="H26" t="str">
            <v>Bank</v>
          </cell>
          <cell r="I26" t="str">
            <v>Long</v>
          </cell>
          <cell r="N26" t="str">
            <v>Undrawn</v>
          </cell>
          <cell r="Q26" t="str">
            <v>V</v>
          </cell>
          <cell r="R26">
            <v>0</v>
          </cell>
          <cell r="T26" t="str">
            <v>$Libor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C27" t="str">
            <v>T&amp;L</v>
          </cell>
          <cell r="D27" t="str">
            <v>Debt</v>
          </cell>
          <cell r="E27" t="str">
            <v>Bilateral</v>
          </cell>
          <cell r="H27" t="str">
            <v>Bank</v>
          </cell>
          <cell r="I27" t="str">
            <v>Long</v>
          </cell>
          <cell r="N27" t="str">
            <v>Drawn</v>
          </cell>
          <cell r="Q27" t="str">
            <v>V</v>
          </cell>
          <cell r="R27">
            <v>0</v>
          </cell>
          <cell r="T27" t="str">
            <v>$Libor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C28" t="str">
            <v>T&amp;L</v>
          </cell>
          <cell r="D28" t="str">
            <v>Debt</v>
          </cell>
          <cell r="E28" t="str">
            <v>Eurobond</v>
          </cell>
          <cell r="H28" t="str">
            <v>Capital</v>
          </cell>
          <cell r="I28" t="str">
            <v>Long</v>
          </cell>
          <cell r="N28" t="str">
            <v>Drawn</v>
          </cell>
          <cell r="Q28" t="str">
            <v>F</v>
          </cell>
          <cell r="R28">
            <v>0</v>
          </cell>
          <cell r="T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C29" t="str">
            <v>T&amp;L</v>
          </cell>
          <cell r="D29" t="str">
            <v>Debt</v>
          </cell>
          <cell r="E29" t="str">
            <v>Eurobond</v>
          </cell>
          <cell r="H29" t="str">
            <v>Capital</v>
          </cell>
          <cell r="I29" t="str">
            <v>Long</v>
          </cell>
          <cell r="N29" t="str">
            <v>Drawn</v>
          </cell>
          <cell r="Q29" t="str">
            <v>F</v>
          </cell>
          <cell r="R29">
            <v>0</v>
          </cell>
          <cell r="T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C30" t="str">
            <v>T&amp;L</v>
          </cell>
          <cell r="D30" t="str">
            <v>Debt</v>
          </cell>
          <cell r="E30" t="str">
            <v>Eurobond</v>
          </cell>
          <cell r="H30" t="str">
            <v>Bank</v>
          </cell>
          <cell r="I30" t="str">
            <v>Long</v>
          </cell>
          <cell r="N30" t="str">
            <v>Drawn</v>
          </cell>
          <cell r="Q30">
            <v>0</v>
          </cell>
          <cell r="R30" t="str">
            <v>F</v>
          </cell>
          <cell r="T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</row>
        <row r="31">
          <cell r="C31" t="str">
            <v>T&amp;L</v>
          </cell>
          <cell r="D31" t="str">
            <v>Debt</v>
          </cell>
          <cell r="E31" t="str">
            <v>Eurobond</v>
          </cell>
          <cell r="H31" t="str">
            <v>Bank</v>
          </cell>
          <cell r="I31" t="str">
            <v>Long</v>
          </cell>
          <cell r="N31" t="str">
            <v>Drawn</v>
          </cell>
          <cell r="Q31" t="str">
            <v>V</v>
          </cell>
          <cell r="R31">
            <v>0</v>
          </cell>
          <cell r="T31" t="str">
            <v>$Libor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C32" t="str">
            <v>T&amp;L</v>
          </cell>
          <cell r="D32" t="str">
            <v>Debt</v>
          </cell>
          <cell r="E32" t="str">
            <v>Eurobond</v>
          </cell>
          <cell r="H32" t="str">
            <v>Bank</v>
          </cell>
          <cell r="I32" t="str">
            <v>Long</v>
          </cell>
          <cell r="N32" t="str">
            <v>Drawn</v>
          </cell>
          <cell r="Q32">
            <v>0</v>
          </cell>
          <cell r="R32" t="str">
            <v>F</v>
          </cell>
          <cell r="T32">
            <v>0</v>
          </cell>
          <cell r="AS32">
            <v>9.2520547945205482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-37.5</v>
          </cell>
          <cell r="BE32">
            <v>0</v>
          </cell>
          <cell r="BF32">
            <v>-37.5</v>
          </cell>
          <cell r="BG32">
            <v>-346.95205479452056</v>
          </cell>
        </row>
        <row r="33">
          <cell r="C33" t="str">
            <v>T&amp;L</v>
          </cell>
          <cell r="D33" t="str">
            <v>Debt</v>
          </cell>
          <cell r="E33" t="str">
            <v>Eurobond</v>
          </cell>
          <cell r="H33" t="str">
            <v>Bank</v>
          </cell>
          <cell r="I33" t="str">
            <v>Long</v>
          </cell>
          <cell r="N33" t="str">
            <v>Drawn</v>
          </cell>
          <cell r="Q33" t="str">
            <v>V</v>
          </cell>
          <cell r="R33">
            <v>0</v>
          </cell>
          <cell r="T33" t="str">
            <v>$Libor</v>
          </cell>
          <cell r="AS33">
            <v>9.2520547945205482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35.071805902634992</v>
          </cell>
          <cell r="BE33">
            <v>0</v>
          </cell>
          <cell r="BF33">
            <v>35.071805902634992</v>
          </cell>
          <cell r="BG33">
            <v>324.48626995396813</v>
          </cell>
        </row>
        <row r="34">
          <cell r="C34" t="str">
            <v>T&amp;L</v>
          </cell>
          <cell r="D34" t="str">
            <v>Debt</v>
          </cell>
          <cell r="E34" t="str">
            <v>Eurobond</v>
          </cell>
          <cell r="H34" t="str">
            <v>Bank</v>
          </cell>
          <cell r="I34" t="str">
            <v>Long</v>
          </cell>
          <cell r="N34" t="str">
            <v>Drawn</v>
          </cell>
          <cell r="Q34">
            <v>0</v>
          </cell>
          <cell r="R34" t="str">
            <v>F</v>
          </cell>
          <cell r="T34">
            <v>0</v>
          </cell>
          <cell r="AS34">
            <v>9.2520547945205482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-37.5</v>
          </cell>
          <cell r="BE34">
            <v>0</v>
          </cell>
          <cell r="BF34">
            <v>-37.5</v>
          </cell>
          <cell r="BG34">
            <v>-346.95205479452056</v>
          </cell>
        </row>
        <row r="35">
          <cell r="C35" t="str">
            <v>T&amp;L</v>
          </cell>
          <cell r="D35" t="str">
            <v>Debt</v>
          </cell>
          <cell r="E35" t="str">
            <v>Eurobond</v>
          </cell>
          <cell r="H35" t="str">
            <v>Bank</v>
          </cell>
          <cell r="I35" t="str">
            <v>Long</v>
          </cell>
          <cell r="N35" t="str">
            <v>Drawn</v>
          </cell>
          <cell r="Q35" t="str">
            <v>V</v>
          </cell>
          <cell r="R35">
            <v>0</v>
          </cell>
          <cell r="T35" t="str">
            <v>$Libor</v>
          </cell>
          <cell r="AS35">
            <v>9.2520547945205482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35.076550786069021</v>
          </cell>
          <cell r="BE35">
            <v>0</v>
          </cell>
          <cell r="BF35">
            <v>35.076550786069021</v>
          </cell>
          <cell r="BG35">
            <v>324.53016987549341</v>
          </cell>
        </row>
        <row r="36">
          <cell r="C36" t="str">
            <v>T&amp;L</v>
          </cell>
          <cell r="D36" t="str">
            <v>Debt</v>
          </cell>
          <cell r="E36" t="str">
            <v>Eurobond</v>
          </cell>
          <cell r="H36" t="str">
            <v>Bank</v>
          </cell>
          <cell r="I36" t="str">
            <v>Long</v>
          </cell>
          <cell r="N36" t="str">
            <v>Drawn</v>
          </cell>
          <cell r="Q36">
            <v>0</v>
          </cell>
          <cell r="R36" t="str">
            <v>F</v>
          </cell>
          <cell r="T36">
            <v>0</v>
          </cell>
          <cell r="AS36">
            <v>9.2520547945205482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-37.5</v>
          </cell>
          <cell r="BE36">
            <v>0</v>
          </cell>
          <cell r="BF36">
            <v>-37.5</v>
          </cell>
          <cell r="BG36">
            <v>-346.95205479452056</v>
          </cell>
        </row>
        <row r="37">
          <cell r="C37" t="str">
            <v>T&amp;L</v>
          </cell>
          <cell r="D37" t="str">
            <v>Debt</v>
          </cell>
          <cell r="E37" t="str">
            <v>Eurobond</v>
          </cell>
          <cell r="H37" t="str">
            <v>Bank</v>
          </cell>
          <cell r="I37" t="str">
            <v>Long</v>
          </cell>
          <cell r="N37" t="str">
            <v>Drawn</v>
          </cell>
          <cell r="Q37" t="str">
            <v>V</v>
          </cell>
          <cell r="R37">
            <v>0</v>
          </cell>
          <cell r="T37" t="str">
            <v>Euribor</v>
          </cell>
          <cell r="AS37">
            <v>9.2520547945205482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40.540010355540218</v>
          </cell>
          <cell r="BE37">
            <v>0</v>
          </cell>
          <cell r="BF37">
            <v>40.540010355540218</v>
          </cell>
          <cell r="BG37">
            <v>375.07839717988855</v>
          </cell>
        </row>
        <row r="38">
          <cell r="C38" t="str">
            <v>T&amp;L</v>
          </cell>
          <cell r="D38" t="str">
            <v>Debt</v>
          </cell>
          <cell r="E38" t="str">
            <v>Eurobond</v>
          </cell>
          <cell r="H38" t="str">
            <v>Bank</v>
          </cell>
          <cell r="I38" t="str">
            <v>Long</v>
          </cell>
          <cell r="N38" t="str">
            <v>Drawn</v>
          </cell>
          <cell r="Q38">
            <v>0</v>
          </cell>
          <cell r="R38" t="str">
            <v>F</v>
          </cell>
          <cell r="T38">
            <v>0</v>
          </cell>
          <cell r="AS38">
            <v>9.2520547945205482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-37.5</v>
          </cell>
          <cell r="BE38">
            <v>0</v>
          </cell>
          <cell r="BF38">
            <v>-37.5</v>
          </cell>
          <cell r="BG38">
            <v>-346.95205479452056</v>
          </cell>
        </row>
        <row r="39">
          <cell r="C39" t="str">
            <v>T&amp;L</v>
          </cell>
          <cell r="D39" t="str">
            <v>Debt</v>
          </cell>
          <cell r="E39" t="str">
            <v>Eurobond</v>
          </cell>
          <cell r="H39" t="str">
            <v>Bank</v>
          </cell>
          <cell r="I39" t="str">
            <v>Long</v>
          </cell>
          <cell r="N39" t="str">
            <v>Drawn</v>
          </cell>
          <cell r="Q39" t="str">
            <v>V</v>
          </cell>
          <cell r="R39">
            <v>0</v>
          </cell>
          <cell r="T39" t="str">
            <v>Euribor</v>
          </cell>
          <cell r="AS39">
            <v>9.2520547945205482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40.578135629962034</v>
          </cell>
          <cell r="BE39">
            <v>0</v>
          </cell>
          <cell r="BF39">
            <v>40.578135629962034</v>
          </cell>
          <cell r="BG39">
            <v>375.43113430789532</v>
          </cell>
        </row>
        <row r="40">
          <cell r="C40" t="str">
            <v>T&amp;L</v>
          </cell>
          <cell r="D40" t="str">
            <v>Debt</v>
          </cell>
          <cell r="E40">
            <v>0</v>
          </cell>
          <cell r="H40" t="str">
            <v>Bank</v>
          </cell>
          <cell r="I40" t="str">
            <v>Short</v>
          </cell>
          <cell r="N40" t="str">
            <v>Drawn</v>
          </cell>
          <cell r="Q40" t="str">
            <v>V</v>
          </cell>
          <cell r="R40">
            <v>0</v>
          </cell>
          <cell r="T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C41" t="str">
            <v>T&amp;L</v>
          </cell>
          <cell r="D41" t="str">
            <v>Debt</v>
          </cell>
          <cell r="E41">
            <v>0</v>
          </cell>
          <cell r="H41" t="str">
            <v>Bank</v>
          </cell>
          <cell r="I41" t="str">
            <v>Short</v>
          </cell>
          <cell r="N41" t="str">
            <v>Drawn</v>
          </cell>
          <cell r="Q41" t="str">
            <v>V</v>
          </cell>
          <cell r="R41">
            <v>0</v>
          </cell>
          <cell r="T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C42" t="str">
            <v>T&amp;L</v>
          </cell>
          <cell r="D42" t="str">
            <v>Debt</v>
          </cell>
          <cell r="E42">
            <v>0</v>
          </cell>
          <cell r="H42" t="str">
            <v>Bank</v>
          </cell>
          <cell r="I42" t="str">
            <v>Short</v>
          </cell>
          <cell r="N42" t="str">
            <v>Drawn</v>
          </cell>
          <cell r="Q42" t="str">
            <v>V</v>
          </cell>
          <cell r="R42">
            <v>0</v>
          </cell>
          <cell r="T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C43" t="str">
            <v>T&amp;L</v>
          </cell>
          <cell r="D43" t="str">
            <v>Debt</v>
          </cell>
          <cell r="E43">
            <v>0</v>
          </cell>
          <cell r="H43" t="str">
            <v>Bank</v>
          </cell>
          <cell r="I43" t="str">
            <v>Short</v>
          </cell>
          <cell r="N43" t="str">
            <v>Drawn</v>
          </cell>
          <cell r="Q43" t="str">
            <v>V</v>
          </cell>
          <cell r="R43">
            <v>0</v>
          </cell>
          <cell r="T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4">
          <cell r="C44" t="str">
            <v>T&amp;L</v>
          </cell>
          <cell r="D44" t="str">
            <v>Debt</v>
          </cell>
          <cell r="E44">
            <v>0</v>
          </cell>
          <cell r="H44" t="str">
            <v>Bank</v>
          </cell>
          <cell r="I44" t="str">
            <v>Short</v>
          </cell>
          <cell r="N44" t="str">
            <v>Drawn</v>
          </cell>
          <cell r="Q44" t="str">
            <v>V</v>
          </cell>
          <cell r="R44">
            <v>0</v>
          </cell>
          <cell r="T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C45" t="str">
            <v>T&amp;L</v>
          </cell>
          <cell r="D45" t="str">
            <v>Debt</v>
          </cell>
          <cell r="E45">
            <v>0</v>
          </cell>
          <cell r="H45" t="str">
            <v>Bank</v>
          </cell>
          <cell r="I45" t="str">
            <v>Short</v>
          </cell>
          <cell r="N45" t="str">
            <v>Drawn</v>
          </cell>
          <cell r="Q45" t="str">
            <v>V</v>
          </cell>
          <cell r="R45">
            <v>0</v>
          </cell>
          <cell r="T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C46" t="str">
            <v>T&amp;L</v>
          </cell>
          <cell r="D46" t="str">
            <v>Debt</v>
          </cell>
          <cell r="E46">
            <v>0</v>
          </cell>
          <cell r="H46" t="str">
            <v>Bank</v>
          </cell>
          <cell r="I46" t="str">
            <v>Short</v>
          </cell>
          <cell r="N46" t="str">
            <v>Drawn</v>
          </cell>
          <cell r="Q46" t="str">
            <v>V</v>
          </cell>
          <cell r="R46">
            <v>0</v>
          </cell>
          <cell r="T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</row>
        <row r="47">
          <cell r="C47" t="str">
            <v>T&amp;L</v>
          </cell>
          <cell r="D47" t="str">
            <v>Debt</v>
          </cell>
          <cell r="E47">
            <v>0</v>
          </cell>
          <cell r="H47" t="str">
            <v>Capital</v>
          </cell>
          <cell r="I47" t="str">
            <v>Long</v>
          </cell>
          <cell r="N47" t="str">
            <v>Drawn</v>
          </cell>
          <cell r="Q47" t="str">
            <v>F</v>
          </cell>
          <cell r="R47">
            <v>0</v>
          </cell>
          <cell r="T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C48" t="str">
            <v>T&amp;L</v>
          </cell>
          <cell r="D48" t="str">
            <v>Debt</v>
          </cell>
          <cell r="E48">
            <v>0</v>
          </cell>
          <cell r="H48" t="str">
            <v>Capital</v>
          </cell>
          <cell r="I48" t="str">
            <v>Long</v>
          </cell>
          <cell r="N48" t="str">
            <v>Drawn</v>
          </cell>
          <cell r="Q48" t="str">
            <v>F</v>
          </cell>
          <cell r="R48">
            <v>0</v>
          </cell>
          <cell r="T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C49" t="str">
            <v>T&amp;L</v>
          </cell>
          <cell r="D49" t="str">
            <v>Debt</v>
          </cell>
          <cell r="E49">
            <v>0</v>
          </cell>
          <cell r="H49" t="str">
            <v>Capital</v>
          </cell>
          <cell r="I49" t="str">
            <v>Long</v>
          </cell>
          <cell r="N49" t="str">
            <v>Drawn</v>
          </cell>
          <cell r="Q49" t="str">
            <v>V</v>
          </cell>
          <cell r="R49">
            <v>0</v>
          </cell>
          <cell r="T49" t="str">
            <v>$Prime</v>
          </cell>
          <cell r="AS49">
            <v>2.6739726027397261</v>
          </cell>
          <cell r="AT49">
            <v>0</v>
          </cell>
          <cell r="AU49">
            <v>0</v>
          </cell>
          <cell r="AV49">
            <v>0</v>
          </cell>
          <cell r="AW49">
            <v>4.7448834340303039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4.7448834340303039</v>
          </cell>
          <cell r="BG49">
            <v>12.687688305790621</v>
          </cell>
        </row>
        <row r="50">
          <cell r="C50" t="str">
            <v>T&amp;L</v>
          </cell>
          <cell r="D50" t="str">
            <v>Debt</v>
          </cell>
          <cell r="E50">
            <v>0</v>
          </cell>
          <cell r="H50" t="str">
            <v>Capital</v>
          </cell>
          <cell r="I50" t="str">
            <v>Long</v>
          </cell>
          <cell r="N50" t="str">
            <v>Drawn</v>
          </cell>
          <cell r="Q50" t="str">
            <v>V</v>
          </cell>
          <cell r="R50">
            <v>0</v>
          </cell>
          <cell r="T50" t="str">
            <v>$Prime</v>
          </cell>
          <cell r="AS50">
            <v>20.183561643835617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10.248948217505456</v>
          </cell>
          <cell r="BF50">
            <v>10.248948217505456</v>
          </cell>
          <cell r="BG50">
            <v>206.86027813250053</v>
          </cell>
        </row>
        <row r="51">
          <cell r="C51" t="str">
            <v>T&amp;L</v>
          </cell>
          <cell r="D51" t="str">
            <v>Debt</v>
          </cell>
          <cell r="E51">
            <v>0</v>
          </cell>
          <cell r="H51" t="str">
            <v>Capital</v>
          </cell>
          <cell r="I51" t="str">
            <v>Long</v>
          </cell>
          <cell r="N51" t="str">
            <v>Drawn</v>
          </cell>
          <cell r="Q51" t="str">
            <v>F</v>
          </cell>
          <cell r="R51">
            <v>0</v>
          </cell>
          <cell r="T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  <row r="52">
          <cell r="C52" t="str">
            <v>T&amp;L</v>
          </cell>
          <cell r="D52" t="str">
            <v>Debt</v>
          </cell>
          <cell r="E52">
            <v>0</v>
          </cell>
          <cell r="H52" t="str">
            <v>Capital</v>
          </cell>
          <cell r="I52" t="str">
            <v>Long</v>
          </cell>
          <cell r="N52" t="str">
            <v>Drawn</v>
          </cell>
          <cell r="Q52" t="str">
            <v>F</v>
          </cell>
          <cell r="R52">
            <v>0</v>
          </cell>
          <cell r="T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3">
          <cell r="C53" t="str">
            <v>T&amp;L</v>
          </cell>
          <cell r="D53" t="str">
            <v>Debt</v>
          </cell>
          <cell r="E53">
            <v>0</v>
          </cell>
          <cell r="H53" t="str">
            <v>Capital</v>
          </cell>
          <cell r="I53" t="str">
            <v>Long</v>
          </cell>
          <cell r="N53" t="str">
            <v>Drawn</v>
          </cell>
          <cell r="Q53" t="str">
            <v>F</v>
          </cell>
          <cell r="R53">
            <v>0</v>
          </cell>
          <cell r="T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4">
          <cell r="C54" t="str">
            <v>T&amp;L</v>
          </cell>
          <cell r="D54" t="str">
            <v>Debt</v>
          </cell>
          <cell r="E54">
            <v>0</v>
          </cell>
          <cell r="H54" t="str">
            <v>Capital</v>
          </cell>
          <cell r="I54" t="str">
            <v>Long</v>
          </cell>
          <cell r="N54" t="str">
            <v>Drawn</v>
          </cell>
          <cell r="Q54" t="str">
            <v>F</v>
          </cell>
          <cell r="R54">
            <v>0</v>
          </cell>
          <cell r="T54">
            <v>0</v>
          </cell>
          <cell r="AS54">
            <v>4.7589041095890412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1.7271999999999998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1.7271999999999998</v>
          </cell>
          <cell r="BG54">
            <v>8.2195791780821921</v>
          </cell>
        </row>
        <row r="55">
          <cell r="C55" t="str">
            <v>T&amp;L</v>
          </cell>
          <cell r="D55" t="str">
            <v>Debt</v>
          </cell>
          <cell r="E55">
            <v>0</v>
          </cell>
          <cell r="H55" t="str">
            <v>Bank</v>
          </cell>
          <cell r="I55" t="str">
            <v>Long</v>
          </cell>
          <cell r="N55" t="str">
            <v>Drawn</v>
          </cell>
          <cell r="Q55" t="str">
            <v>F</v>
          </cell>
          <cell r="R55">
            <v>0</v>
          </cell>
          <cell r="T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</row>
        <row r="56">
          <cell r="C56" t="str">
            <v>T&amp;L</v>
          </cell>
          <cell r="D56" t="str">
            <v>Debt</v>
          </cell>
          <cell r="E56">
            <v>0</v>
          </cell>
          <cell r="H56" t="str">
            <v>Bank</v>
          </cell>
          <cell r="I56" t="str">
            <v>Long</v>
          </cell>
          <cell r="N56" t="str">
            <v>Drawn</v>
          </cell>
          <cell r="Q56" t="str">
            <v>F</v>
          </cell>
          <cell r="R56">
            <v>0</v>
          </cell>
          <cell r="T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7">
          <cell r="C57" t="str">
            <v>T&amp;L</v>
          </cell>
          <cell r="D57" t="str">
            <v>Debt</v>
          </cell>
          <cell r="E57">
            <v>0</v>
          </cell>
          <cell r="H57" t="str">
            <v>Bank</v>
          </cell>
          <cell r="I57" t="str">
            <v>Long</v>
          </cell>
          <cell r="N57" t="str">
            <v>Drawn</v>
          </cell>
          <cell r="Q57" t="str">
            <v>V</v>
          </cell>
          <cell r="R57">
            <v>0</v>
          </cell>
          <cell r="T57" t="str">
            <v>$Libor</v>
          </cell>
          <cell r="AS57">
            <v>0.29041095890410956</v>
          </cell>
          <cell r="AT57">
            <v>1.4171385189637176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1.4171385189637176</v>
          </cell>
          <cell r="BG57">
            <v>0.41155255619220288</v>
          </cell>
        </row>
        <row r="58">
          <cell r="C58" t="str">
            <v>T&amp;L</v>
          </cell>
          <cell r="D58" t="str">
            <v>Debt</v>
          </cell>
          <cell r="E58">
            <v>0</v>
          </cell>
          <cell r="H58" t="str">
            <v>Bank</v>
          </cell>
          <cell r="I58" t="str">
            <v>Long</v>
          </cell>
          <cell r="N58" t="str">
            <v>Drawn</v>
          </cell>
          <cell r="Q58" t="str">
            <v>V</v>
          </cell>
          <cell r="R58">
            <v>0</v>
          </cell>
          <cell r="T58" t="str">
            <v>$Libor</v>
          </cell>
          <cell r="AS58">
            <v>0.79452054794520544</v>
          </cell>
          <cell r="AT58">
            <v>1.4044854964729701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1.4044854964729701</v>
          </cell>
          <cell r="BG58">
            <v>1.1158925862387981</v>
          </cell>
        </row>
        <row r="59">
          <cell r="C59" t="str">
            <v>T&amp;L</v>
          </cell>
          <cell r="D59" t="str">
            <v>Debt</v>
          </cell>
          <cell r="E59">
            <v>0</v>
          </cell>
          <cell r="H59" t="str">
            <v>Bank</v>
          </cell>
          <cell r="I59" t="str">
            <v>Long</v>
          </cell>
          <cell r="N59" t="str">
            <v>Drawn</v>
          </cell>
          <cell r="Q59" t="str">
            <v>V</v>
          </cell>
          <cell r="R59">
            <v>0</v>
          </cell>
          <cell r="T59" t="str">
            <v>$Libor</v>
          </cell>
          <cell r="AS59">
            <v>1.2931506849315069</v>
          </cell>
          <cell r="AT59">
            <v>0</v>
          </cell>
          <cell r="AU59">
            <v>1.4044854964729701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1.4044854964729701</v>
          </cell>
          <cell r="BG59">
            <v>1.8162113817403887</v>
          </cell>
        </row>
        <row r="60">
          <cell r="C60" t="str">
            <v>T&amp;L</v>
          </cell>
          <cell r="D60" t="str">
            <v>Debt</v>
          </cell>
          <cell r="E60">
            <v>0</v>
          </cell>
          <cell r="H60" t="str">
            <v>Bank</v>
          </cell>
          <cell r="I60" t="str">
            <v>Long</v>
          </cell>
          <cell r="N60" t="str">
            <v>Drawn</v>
          </cell>
          <cell r="Q60" t="str">
            <v>V</v>
          </cell>
          <cell r="R60">
            <v>0</v>
          </cell>
          <cell r="T60" t="str">
            <v>$Libor</v>
          </cell>
          <cell r="AS60">
            <v>1.7972602739726027</v>
          </cell>
          <cell r="AT60">
            <v>0</v>
          </cell>
          <cell r="AU60">
            <v>1.4044854964729701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1.4044854964729701</v>
          </cell>
          <cell r="BG60">
            <v>2.524225988181557</v>
          </cell>
        </row>
        <row r="61">
          <cell r="C61" t="str">
            <v>T&amp;L</v>
          </cell>
          <cell r="D61" t="str">
            <v>Debt</v>
          </cell>
          <cell r="E61">
            <v>0</v>
          </cell>
          <cell r="H61" t="str">
            <v>Bank</v>
          </cell>
          <cell r="I61" t="str">
            <v>Long</v>
          </cell>
          <cell r="N61" t="str">
            <v>Drawn</v>
          </cell>
          <cell r="Q61" t="str">
            <v>V</v>
          </cell>
          <cell r="R61">
            <v>0</v>
          </cell>
          <cell r="T61" t="str">
            <v>$Libor</v>
          </cell>
          <cell r="AS61">
            <v>2.2931506849315069</v>
          </cell>
          <cell r="AT61">
            <v>0</v>
          </cell>
          <cell r="AU61">
            <v>0</v>
          </cell>
          <cell r="AV61">
            <v>1.4044854964729701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1.4044854964729701</v>
          </cell>
          <cell r="BG61">
            <v>3.2206968782133587</v>
          </cell>
        </row>
        <row r="62">
          <cell r="C62" t="str">
            <v>T&amp;L</v>
          </cell>
          <cell r="D62" t="str">
            <v>Debt</v>
          </cell>
          <cell r="E62">
            <v>0</v>
          </cell>
          <cell r="H62" t="str">
            <v>Bank</v>
          </cell>
          <cell r="I62" t="str">
            <v>Long</v>
          </cell>
          <cell r="N62" t="str">
            <v>Drawn</v>
          </cell>
          <cell r="Q62" t="str">
            <v>V</v>
          </cell>
          <cell r="R62">
            <v>0</v>
          </cell>
          <cell r="T62" t="str">
            <v>$Libor</v>
          </cell>
          <cell r="AS62">
            <v>2.7972602739726029</v>
          </cell>
          <cell r="AT62">
            <v>0</v>
          </cell>
          <cell r="AU62">
            <v>0</v>
          </cell>
          <cell r="AV62">
            <v>0</v>
          </cell>
          <cell r="AW62">
            <v>1.4044854964729701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1.4044854964729701</v>
          </cell>
          <cell r="BG62">
            <v>3.9287114846545275</v>
          </cell>
        </row>
        <row r="63">
          <cell r="C63" t="str">
            <v>T&amp;L</v>
          </cell>
          <cell r="D63" t="str">
            <v>Debt</v>
          </cell>
          <cell r="E63">
            <v>0</v>
          </cell>
          <cell r="H63" t="str">
            <v>Bank</v>
          </cell>
          <cell r="I63" t="str">
            <v>Long</v>
          </cell>
          <cell r="N63" t="str">
            <v>Drawn</v>
          </cell>
          <cell r="Q63" t="str">
            <v>V</v>
          </cell>
          <cell r="R63">
            <v>0</v>
          </cell>
          <cell r="T63" t="str">
            <v>$Libor</v>
          </cell>
          <cell r="AS63">
            <v>3.2931506849315069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1.4044854964729701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1.4044854964729701</v>
          </cell>
          <cell r="BG63">
            <v>4.6251823746863288</v>
          </cell>
        </row>
        <row r="64">
          <cell r="C64" t="str">
            <v>T&amp;L</v>
          </cell>
          <cell r="D64" t="str">
            <v>Debt</v>
          </cell>
          <cell r="E64">
            <v>0</v>
          </cell>
          <cell r="H64" t="str">
            <v>Bank</v>
          </cell>
          <cell r="I64" t="str">
            <v>Long</v>
          </cell>
          <cell r="N64" t="str">
            <v>Drawn</v>
          </cell>
          <cell r="Q64" t="str">
            <v>V</v>
          </cell>
          <cell r="R64">
            <v>0</v>
          </cell>
          <cell r="T64" t="str">
            <v>$Libor</v>
          </cell>
          <cell r="AS64">
            <v>3.7972602739726029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0.51877392212064655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0.51877392212064655</v>
          </cell>
          <cell r="BG64">
            <v>1.9699196056416881</v>
          </cell>
        </row>
        <row r="65">
          <cell r="C65" t="str">
            <v>T&amp;L</v>
          </cell>
          <cell r="D65" t="str">
            <v>Debt</v>
          </cell>
          <cell r="E65">
            <v>0</v>
          </cell>
          <cell r="H65" t="str">
            <v>Bank</v>
          </cell>
          <cell r="I65" t="str">
            <v>Long</v>
          </cell>
          <cell r="N65" t="str">
            <v>Drawn</v>
          </cell>
          <cell r="Q65" t="str">
            <v>V</v>
          </cell>
          <cell r="R65">
            <v>0</v>
          </cell>
          <cell r="T65" t="str">
            <v>$Libor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</row>
        <row r="66">
          <cell r="C66" t="str">
            <v>T&amp;L</v>
          </cell>
          <cell r="D66" t="str">
            <v>Debt</v>
          </cell>
          <cell r="E66">
            <v>0</v>
          </cell>
          <cell r="H66" t="str">
            <v>Bank</v>
          </cell>
          <cell r="I66" t="str">
            <v>Long</v>
          </cell>
          <cell r="N66" t="str">
            <v>Drawn</v>
          </cell>
          <cell r="Q66" t="str">
            <v>V</v>
          </cell>
          <cell r="R66">
            <v>0</v>
          </cell>
          <cell r="T66" t="str">
            <v>$Libor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</row>
        <row r="67">
          <cell r="C67" t="str">
            <v>T&amp;L</v>
          </cell>
          <cell r="D67" t="str">
            <v>Debt</v>
          </cell>
          <cell r="E67">
            <v>0</v>
          </cell>
          <cell r="H67" t="str">
            <v>Bank</v>
          </cell>
          <cell r="I67" t="str">
            <v>Long</v>
          </cell>
          <cell r="N67" t="str">
            <v>Drawn</v>
          </cell>
          <cell r="Q67" t="str">
            <v>V</v>
          </cell>
          <cell r="R67">
            <v>0</v>
          </cell>
          <cell r="T67" t="str">
            <v>$Libor</v>
          </cell>
          <cell r="AS67">
            <v>0.29041095890410956</v>
          </cell>
          <cell r="AT67">
            <v>1.1501597444089458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1.1501597444089458</v>
          </cell>
          <cell r="BG67">
            <v>0.3340189942667075</v>
          </cell>
        </row>
        <row r="68">
          <cell r="C68" t="str">
            <v>T&amp;L</v>
          </cell>
          <cell r="D68" t="str">
            <v>Debt</v>
          </cell>
          <cell r="E68">
            <v>0</v>
          </cell>
          <cell r="H68" t="str">
            <v>Bank</v>
          </cell>
          <cell r="I68" t="str">
            <v>Long</v>
          </cell>
          <cell r="N68" t="str">
            <v>Drawn</v>
          </cell>
          <cell r="Q68" t="str">
            <v>V</v>
          </cell>
          <cell r="R68">
            <v>0</v>
          </cell>
          <cell r="T68" t="str">
            <v>$Libor</v>
          </cell>
          <cell r="AS68">
            <v>0.79452054794520544</v>
          </cell>
          <cell r="AT68">
            <v>1.1501597444089458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1.1501597444089458</v>
          </cell>
          <cell r="BG68">
            <v>0.91382555035231305</v>
          </cell>
        </row>
        <row r="69">
          <cell r="C69" t="str">
            <v>T&amp;L</v>
          </cell>
          <cell r="D69" t="str">
            <v>Debt</v>
          </cell>
          <cell r="E69">
            <v>0</v>
          </cell>
          <cell r="H69" t="str">
            <v>Bank</v>
          </cell>
          <cell r="I69" t="str">
            <v>Long</v>
          </cell>
          <cell r="N69" t="str">
            <v>Drawn</v>
          </cell>
          <cell r="Q69" t="str">
            <v>V</v>
          </cell>
          <cell r="R69">
            <v>0</v>
          </cell>
          <cell r="T69" t="str">
            <v>$Libor</v>
          </cell>
          <cell r="AS69">
            <v>1.2931506849315069</v>
          </cell>
          <cell r="AT69">
            <v>0</v>
          </cell>
          <cell r="AU69">
            <v>1.1501597444089458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1.1501597444089458</v>
          </cell>
          <cell r="BG69">
            <v>1.487329861263075</v>
          </cell>
        </row>
        <row r="70">
          <cell r="C70" t="str">
            <v>T&amp;L</v>
          </cell>
          <cell r="D70" t="str">
            <v>Debt</v>
          </cell>
          <cell r="E70">
            <v>0</v>
          </cell>
          <cell r="H70" t="str">
            <v>Bank</v>
          </cell>
          <cell r="I70" t="str">
            <v>Long</v>
          </cell>
          <cell r="N70" t="str">
            <v>Drawn</v>
          </cell>
          <cell r="Q70" t="str">
            <v>V</v>
          </cell>
          <cell r="R70">
            <v>0</v>
          </cell>
          <cell r="T70" t="str">
            <v>$Libor</v>
          </cell>
          <cell r="AS70">
            <v>1.7972602739726027</v>
          </cell>
          <cell r="AT70">
            <v>0</v>
          </cell>
          <cell r="AU70">
            <v>1.1501597444089458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1.1501597444089458</v>
          </cell>
          <cell r="BG70">
            <v>2.0671364173486806</v>
          </cell>
        </row>
        <row r="71">
          <cell r="C71" t="str">
            <v>T&amp;L</v>
          </cell>
          <cell r="D71" t="str">
            <v>Debt</v>
          </cell>
          <cell r="E71">
            <v>0</v>
          </cell>
          <cell r="H71" t="str">
            <v>Bank</v>
          </cell>
          <cell r="I71" t="str">
            <v>Long</v>
          </cell>
          <cell r="N71" t="str">
            <v>Drawn</v>
          </cell>
          <cell r="Q71" t="str">
            <v>V</v>
          </cell>
          <cell r="R71">
            <v>0</v>
          </cell>
          <cell r="T71" t="str">
            <v>$Libor</v>
          </cell>
          <cell r="AS71">
            <v>2.2931506849315069</v>
          </cell>
          <cell r="AT71">
            <v>0</v>
          </cell>
          <cell r="AU71">
            <v>0</v>
          </cell>
          <cell r="AV71">
            <v>1.1501597444089458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1.1501597444089458</v>
          </cell>
          <cell r="BG71">
            <v>2.637489605672021</v>
          </cell>
        </row>
        <row r="72">
          <cell r="C72" t="str">
            <v>T&amp;L</v>
          </cell>
          <cell r="D72" t="str">
            <v>Debt</v>
          </cell>
          <cell r="E72">
            <v>0</v>
          </cell>
          <cell r="H72" t="str">
            <v>Bank</v>
          </cell>
          <cell r="I72" t="str">
            <v>Long</v>
          </cell>
          <cell r="N72" t="str">
            <v>Drawn</v>
          </cell>
          <cell r="Q72" t="str">
            <v>V</v>
          </cell>
          <cell r="R72">
            <v>0</v>
          </cell>
          <cell r="T72" t="str">
            <v>$Libor</v>
          </cell>
          <cell r="AS72">
            <v>2.7972602739726029</v>
          </cell>
          <cell r="AT72">
            <v>0</v>
          </cell>
          <cell r="AU72">
            <v>0</v>
          </cell>
          <cell r="AV72">
            <v>0</v>
          </cell>
          <cell r="AW72">
            <v>1.1501597444089458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1.1501597444089458</v>
          </cell>
          <cell r="BG72">
            <v>3.2172961617576266</v>
          </cell>
        </row>
        <row r="73">
          <cell r="C73" t="str">
            <v>T&amp;L</v>
          </cell>
          <cell r="D73" t="str">
            <v>Debt</v>
          </cell>
          <cell r="E73">
            <v>0</v>
          </cell>
          <cell r="H73" t="str">
            <v>Bank</v>
          </cell>
          <cell r="I73" t="str">
            <v>Long</v>
          </cell>
          <cell r="N73" t="str">
            <v>Drawn</v>
          </cell>
          <cell r="Q73" t="str">
            <v>V</v>
          </cell>
          <cell r="R73">
            <v>0</v>
          </cell>
          <cell r="T73" t="str">
            <v>$Libor</v>
          </cell>
          <cell r="AS73">
            <v>3.2931506849315069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1.1501597444089458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1.1501597444089458</v>
          </cell>
          <cell r="BG73">
            <v>3.7876493500809665</v>
          </cell>
        </row>
        <row r="74">
          <cell r="C74" t="str">
            <v>T&amp;L</v>
          </cell>
          <cell r="D74" t="str">
            <v>Debt</v>
          </cell>
          <cell r="E74">
            <v>0</v>
          </cell>
          <cell r="H74" t="str">
            <v>Bank</v>
          </cell>
          <cell r="I74" t="str">
            <v>Long</v>
          </cell>
          <cell r="N74" t="str">
            <v>Drawn</v>
          </cell>
          <cell r="Q74" t="str">
            <v>V</v>
          </cell>
          <cell r="R74">
            <v>0</v>
          </cell>
          <cell r="T74" t="str">
            <v>$Libor</v>
          </cell>
          <cell r="AS74">
            <v>3.7972602739726029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0.27583589029829497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0.27583589029829497</v>
          </cell>
          <cell r="BG74">
            <v>1.0474206683655805</v>
          </cell>
        </row>
        <row r="75">
          <cell r="C75" t="str">
            <v>T&amp;L</v>
          </cell>
          <cell r="D75" t="str">
            <v>Debt</v>
          </cell>
          <cell r="E75">
            <v>0</v>
          </cell>
          <cell r="H75" t="str">
            <v>Bank</v>
          </cell>
          <cell r="I75" t="str">
            <v>Long</v>
          </cell>
          <cell r="N75" t="str">
            <v>Drawn</v>
          </cell>
          <cell r="Q75" t="str">
            <v>V</v>
          </cell>
          <cell r="R75">
            <v>0</v>
          </cell>
          <cell r="T75" t="str">
            <v>$Libor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</row>
        <row r="76">
          <cell r="C76" t="str">
            <v>T&amp;L</v>
          </cell>
          <cell r="D76" t="str">
            <v>Debt</v>
          </cell>
          <cell r="E76">
            <v>0</v>
          </cell>
          <cell r="H76" t="str">
            <v>Bank</v>
          </cell>
          <cell r="I76" t="str">
            <v>Long</v>
          </cell>
          <cell r="N76" t="str">
            <v>Drawn</v>
          </cell>
          <cell r="Q76" t="str">
            <v>V</v>
          </cell>
          <cell r="R76">
            <v>0</v>
          </cell>
          <cell r="T76" t="str">
            <v>$Libor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7">
          <cell r="C77" t="str">
            <v>T&amp;L</v>
          </cell>
          <cell r="D77" t="str">
            <v>Debt</v>
          </cell>
          <cell r="E77">
            <v>0</v>
          </cell>
          <cell r="H77" t="str">
            <v>Bank</v>
          </cell>
          <cell r="I77" t="str">
            <v>Long</v>
          </cell>
          <cell r="N77" t="str">
            <v>Drawn</v>
          </cell>
          <cell r="Q77" t="str">
            <v>V</v>
          </cell>
          <cell r="R77">
            <v>0</v>
          </cell>
          <cell r="T77" t="str">
            <v>$Libor</v>
          </cell>
          <cell r="AS77">
            <v>0.29041095890410956</v>
          </cell>
          <cell r="AT77">
            <v>0.57513681080568113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0.57513681080568113</v>
          </cell>
          <cell r="BG77">
            <v>0.16702603272712929</v>
          </cell>
        </row>
        <row r="78">
          <cell r="C78" t="str">
            <v>T&amp;L</v>
          </cell>
          <cell r="D78" t="str">
            <v>Debt</v>
          </cell>
          <cell r="E78">
            <v>0</v>
          </cell>
          <cell r="H78" t="str">
            <v>Bank</v>
          </cell>
          <cell r="I78" t="str">
            <v>Long</v>
          </cell>
          <cell r="N78" t="str">
            <v>Drawn</v>
          </cell>
          <cell r="Q78" t="str">
            <v>V</v>
          </cell>
          <cell r="R78">
            <v>0</v>
          </cell>
          <cell r="T78" t="str">
            <v>$Libor</v>
          </cell>
          <cell r="AS78">
            <v>0.79452054794520544</v>
          </cell>
          <cell r="AT78">
            <v>0.57513681080568113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0.57513681080568113</v>
          </cell>
          <cell r="BG78">
            <v>0.4569580140647877</v>
          </cell>
        </row>
        <row r="79">
          <cell r="C79" t="str">
            <v>T&amp;L</v>
          </cell>
          <cell r="D79" t="str">
            <v>Debt</v>
          </cell>
          <cell r="E79">
            <v>0</v>
          </cell>
          <cell r="H79" t="str">
            <v>Bank</v>
          </cell>
          <cell r="I79" t="str">
            <v>Long</v>
          </cell>
          <cell r="N79" t="str">
            <v>Drawn</v>
          </cell>
          <cell r="Q79" t="str">
            <v>V</v>
          </cell>
          <cell r="R79">
            <v>0</v>
          </cell>
          <cell r="T79" t="str">
            <v>$Libor</v>
          </cell>
          <cell r="AS79">
            <v>1.2931506849315069</v>
          </cell>
          <cell r="AT79">
            <v>0</v>
          </cell>
          <cell r="AU79">
            <v>0.57513681080568113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0.57513681080568113</v>
          </cell>
          <cell r="BG79">
            <v>0.74373856082268908</v>
          </cell>
        </row>
        <row r="80">
          <cell r="C80" t="str">
            <v>T&amp;L</v>
          </cell>
          <cell r="D80" t="str">
            <v>Debt</v>
          </cell>
          <cell r="E80">
            <v>0</v>
          </cell>
          <cell r="H80" t="str">
            <v>Bank</v>
          </cell>
          <cell r="I80" t="str">
            <v>Long</v>
          </cell>
          <cell r="N80" t="str">
            <v>Drawn</v>
          </cell>
          <cell r="Q80" t="str">
            <v>V</v>
          </cell>
          <cell r="R80">
            <v>0</v>
          </cell>
          <cell r="T80" t="str">
            <v>$Libor</v>
          </cell>
          <cell r="AS80">
            <v>1.7972602739726027</v>
          </cell>
          <cell r="AT80">
            <v>0</v>
          </cell>
          <cell r="AU80">
            <v>0.57513681080568113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0.57513681080568113</v>
          </cell>
          <cell r="BG80">
            <v>1.0336705421603474</v>
          </cell>
        </row>
        <row r="81">
          <cell r="C81" t="str">
            <v>T&amp;L</v>
          </cell>
          <cell r="D81" t="str">
            <v>Debt</v>
          </cell>
          <cell r="E81">
            <v>0</v>
          </cell>
          <cell r="H81" t="str">
            <v>Bank</v>
          </cell>
          <cell r="I81" t="str">
            <v>Long</v>
          </cell>
          <cell r="N81" t="str">
            <v>Drawn</v>
          </cell>
          <cell r="Q81" t="str">
            <v>V</v>
          </cell>
          <cell r="R81">
            <v>0</v>
          </cell>
          <cell r="T81" t="str">
            <v>$Libor</v>
          </cell>
          <cell r="AS81">
            <v>2.2931506849315069</v>
          </cell>
          <cell r="AT81">
            <v>0</v>
          </cell>
          <cell r="AU81">
            <v>0</v>
          </cell>
          <cell r="AV81">
            <v>0.57513681080568113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0.57513681080568113</v>
          </cell>
          <cell r="BG81">
            <v>1.3188753716283701</v>
          </cell>
        </row>
        <row r="82">
          <cell r="C82" t="str">
            <v>T&amp;L</v>
          </cell>
          <cell r="D82" t="str">
            <v>Debt</v>
          </cell>
          <cell r="E82">
            <v>0</v>
          </cell>
          <cell r="H82" t="str">
            <v>Bank</v>
          </cell>
          <cell r="I82" t="str">
            <v>Long</v>
          </cell>
          <cell r="N82" t="str">
            <v>Drawn</v>
          </cell>
          <cell r="Q82" t="str">
            <v>V</v>
          </cell>
          <cell r="R82">
            <v>0</v>
          </cell>
          <cell r="T82" t="str">
            <v>$Libor</v>
          </cell>
          <cell r="AS82">
            <v>2.7972602739726029</v>
          </cell>
          <cell r="AT82">
            <v>0</v>
          </cell>
          <cell r="AU82">
            <v>0</v>
          </cell>
          <cell r="AV82">
            <v>0</v>
          </cell>
          <cell r="AW82">
            <v>0.57513681080568113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0.57513681080568113</v>
          </cell>
          <cell r="BG82">
            <v>1.6088073529660287</v>
          </cell>
        </row>
        <row r="83">
          <cell r="C83" t="str">
            <v>T&amp;L</v>
          </cell>
          <cell r="D83" t="str">
            <v>Debt</v>
          </cell>
          <cell r="E83">
            <v>0</v>
          </cell>
          <cell r="H83" t="str">
            <v>Bank</v>
          </cell>
          <cell r="I83" t="str">
            <v>Long</v>
          </cell>
          <cell r="N83" t="str">
            <v>Drawn</v>
          </cell>
          <cell r="Q83" t="str">
            <v>V</v>
          </cell>
          <cell r="R83">
            <v>0</v>
          </cell>
          <cell r="T83" t="str">
            <v>$Libor</v>
          </cell>
          <cell r="AS83">
            <v>3.2931506849315069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0.57513681080568113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0.57513681080568113</v>
          </cell>
          <cell r="BG83">
            <v>1.8940121824340512</v>
          </cell>
        </row>
        <row r="84">
          <cell r="C84" t="str">
            <v>T&amp;L</v>
          </cell>
          <cell r="D84" t="str">
            <v>Debt</v>
          </cell>
          <cell r="E84">
            <v>0</v>
          </cell>
          <cell r="H84" t="str">
            <v>Bank</v>
          </cell>
          <cell r="I84" t="str">
            <v>Long</v>
          </cell>
          <cell r="N84" t="str">
            <v>Drawn</v>
          </cell>
          <cell r="Q84" t="str">
            <v>V</v>
          </cell>
          <cell r="R84">
            <v>0</v>
          </cell>
          <cell r="T84" t="str">
            <v>$Libor</v>
          </cell>
          <cell r="AS84">
            <v>3.7972602739726029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0.13803182235156422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0.13803182235156422</v>
          </cell>
          <cell r="BG84">
            <v>0.52414275555963841</v>
          </cell>
        </row>
        <row r="85">
          <cell r="C85" t="str">
            <v>T&amp;L</v>
          </cell>
          <cell r="D85" t="str">
            <v>Debt</v>
          </cell>
          <cell r="E85">
            <v>0</v>
          </cell>
          <cell r="H85" t="str">
            <v>Bank</v>
          </cell>
          <cell r="I85" t="str">
            <v>Short</v>
          </cell>
          <cell r="N85" t="str">
            <v>Drawn</v>
          </cell>
          <cell r="Q85" t="str">
            <v>V</v>
          </cell>
          <cell r="R85">
            <v>0</v>
          </cell>
          <cell r="T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</row>
        <row r="86">
          <cell r="C86" t="str">
            <v>T&amp;L</v>
          </cell>
          <cell r="D86" t="str">
            <v>Debt</v>
          </cell>
          <cell r="E86">
            <v>0</v>
          </cell>
          <cell r="H86" t="str">
            <v>Bank</v>
          </cell>
          <cell r="I86" t="str">
            <v>Short</v>
          </cell>
          <cell r="N86" t="str">
            <v>Drawn</v>
          </cell>
          <cell r="Q86" t="str">
            <v>V</v>
          </cell>
          <cell r="R86">
            <v>0</v>
          </cell>
          <cell r="T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7">
          <cell r="C87" t="str">
            <v>T&amp;L</v>
          </cell>
          <cell r="D87" t="str">
            <v>Debt</v>
          </cell>
          <cell r="E87">
            <v>0</v>
          </cell>
          <cell r="H87" t="str">
            <v>Bank</v>
          </cell>
          <cell r="I87" t="str">
            <v>Short</v>
          </cell>
          <cell r="N87" t="str">
            <v>Drawn</v>
          </cell>
          <cell r="Q87" t="str">
            <v>V</v>
          </cell>
          <cell r="R87">
            <v>0</v>
          </cell>
          <cell r="T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8">
          <cell r="C88" t="str">
            <v>T&amp;L</v>
          </cell>
          <cell r="D88" t="str">
            <v>Debt</v>
          </cell>
          <cell r="E88">
            <v>0</v>
          </cell>
          <cell r="H88" t="str">
            <v>Bank</v>
          </cell>
          <cell r="I88" t="str">
            <v>Short</v>
          </cell>
          <cell r="N88" t="str">
            <v>Drawn</v>
          </cell>
          <cell r="Q88" t="str">
            <v>V</v>
          </cell>
          <cell r="R88">
            <v>0</v>
          </cell>
          <cell r="T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</row>
        <row r="89">
          <cell r="C89" t="str">
            <v>T&amp;L</v>
          </cell>
          <cell r="D89" t="str">
            <v>Debt</v>
          </cell>
          <cell r="E89">
            <v>0</v>
          </cell>
          <cell r="H89" t="str">
            <v>Bank</v>
          </cell>
          <cell r="I89" t="str">
            <v>Short</v>
          </cell>
          <cell r="N89" t="str">
            <v>Drawn</v>
          </cell>
          <cell r="Q89" t="str">
            <v>V</v>
          </cell>
          <cell r="R89">
            <v>0</v>
          </cell>
          <cell r="T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90">
          <cell r="C90" t="str">
            <v>T&amp;L</v>
          </cell>
          <cell r="D90" t="str">
            <v>Debt</v>
          </cell>
          <cell r="E90">
            <v>0</v>
          </cell>
          <cell r="H90" t="str">
            <v>Bank</v>
          </cell>
          <cell r="I90" t="str">
            <v>Short</v>
          </cell>
          <cell r="N90" t="str">
            <v>Drawn</v>
          </cell>
          <cell r="Q90" t="str">
            <v>V</v>
          </cell>
          <cell r="R90">
            <v>0</v>
          </cell>
          <cell r="T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</row>
        <row r="91">
          <cell r="C91" t="str">
            <v>T&amp;L</v>
          </cell>
          <cell r="D91" t="str">
            <v>Debt</v>
          </cell>
          <cell r="E91">
            <v>0</v>
          </cell>
          <cell r="H91" t="str">
            <v>Bank</v>
          </cell>
          <cell r="I91" t="str">
            <v>Short</v>
          </cell>
          <cell r="N91" t="str">
            <v>Drawn</v>
          </cell>
          <cell r="Q91" t="str">
            <v>F</v>
          </cell>
          <cell r="R91">
            <v>0</v>
          </cell>
          <cell r="T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2">
          <cell r="C92" t="str">
            <v>T&amp;L</v>
          </cell>
          <cell r="D92" t="str">
            <v>Debt</v>
          </cell>
          <cell r="E92">
            <v>0</v>
          </cell>
          <cell r="H92" t="str">
            <v>Bank</v>
          </cell>
          <cell r="I92" t="str">
            <v>Long</v>
          </cell>
          <cell r="N92" t="str">
            <v>Drawn</v>
          </cell>
          <cell r="Q92" t="str">
            <v>F</v>
          </cell>
          <cell r="R92">
            <v>0</v>
          </cell>
          <cell r="T92">
            <v>0</v>
          </cell>
          <cell r="AS92">
            <v>1.0054794520547945</v>
          </cell>
          <cell r="AT92">
            <v>0</v>
          </cell>
          <cell r="AU92">
            <v>8.0000000000000002E-3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8.0000000000000002E-3</v>
          </cell>
          <cell r="BG92">
            <v>8.0438356164383561E-3</v>
          </cell>
        </row>
        <row r="93">
          <cell r="C93" t="str">
            <v>T&amp;L</v>
          </cell>
          <cell r="D93" t="str">
            <v>Debt</v>
          </cell>
          <cell r="E93">
            <v>0</v>
          </cell>
          <cell r="H93" t="str">
            <v>Bank</v>
          </cell>
          <cell r="I93" t="str">
            <v>Long</v>
          </cell>
          <cell r="N93" t="str">
            <v>Drawn</v>
          </cell>
          <cell r="Q93" t="str">
            <v>F</v>
          </cell>
          <cell r="R93">
            <v>0</v>
          </cell>
          <cell r="T93">
            <v>0</v>
          </cell>
          <cell r="AS93">
            <v>2.0054794520547947</v>
          </cell>
          <cell r="AT93">
            <v>0</v>
          </cell>
          <cell r="AU93">
            <v>0</v>
          </cell>
          <cell r="AV93">
            <v>8.0000000000000002E-3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8.0000000000000002E-3</v>
          </cell>
          <cell r="BG93">
            <v>1.6043835616438358E-2</v>
          </cell>
        </row>
        <row r="94">
          <cell r="C94" t="str">
            <v>T&amp;L</v>
          </cell>
          <cell r="D94" t="str">
            <v>Debt</v>
          </cell>
          <cell r="E94">
            <v>0</v>
          </cell>
          <cell r="H94" t="str">
            <v>Bank</v>
          </cell>
          <cell r="I94" t="str">
            <v>Long</v>
          </cell>
          <cell r="N94" t="str">
            <v>Drawn</v>
          </cell>
          <cell r="Q94" t="str">
            <v>F</v>
          </cell>
          <cell r="R94">
            <v>0</v>
          </cell>
          <cell r="T94">
            <v>0</v>
          </cell>
          <cell r="AS94">
            <v>3.0054794520547947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8.0000000000000002E-3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8.0000000000000002E-3</v>
          </cell>
          <cell r="BG94">
            <v>2.4043835616438358E-2</v>
          </cell>
        </row>
        <row r="95">
          <cell r="C95" t="str">
            <v>T&amp;L</v>
          </cell>
          <cell r="D95" t="str">
            <v>Debt</v>
          </cell>
          <cell r="E95">
            <v>0</v>
          </cell>
          <cell r="H95" t="str">
            <v>Bank</v>
          </cell>
          <cell r="I95" t="str">
            <v>Long</v>
          </cell>
          <cell r="N95" t="str">
            <v>Drawn</v>
          </cell>
          <cell r="Q95" t="str">
            <v>F</v>
          </cell>
          <cell r="R95">
            <v>0</v>
          </cell>
          <cell r="T95">
            <v>0</v>
          </cell>
          <cell r="AS95">
            <v>4.0054794520547947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3.0000000000000001E-3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3.0000000000000001E-3</v>
          </cell>
          <cell r="BG95">
            <v>1.2016438356164385E-2</v>
          </cell>
        </row>
        <row r="96">
          <cell r="C96" t="str">
            <v>T&amp;L</v>
          </cell>
          <cell r="D96" t="str">
            <v>Debt</v>
          </cell>
          <cell r="E96">
            <v>0</v>
          </cell>
          <cell r="H96" t="str">
            <v>Bank</v>
          </cell>
          <cell r="I96" t="str">
            <v>Short</v>
          </cell>
          <cell r="N96" t="str">
            <v>Drawn</v>
          </cell>
          <cell r="Q96" t="str">
            <v>F</v>
          </cell>
          <cell r="R96">
            <v>0</v>
          </cell>
          <cell r="T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7">
          <cell r="C97" t="str">
            <v>T&amp;L</v>
          </cell>
          <cell r="D97" t="str">
            <v>Debt</v>
          </cell>
          <cell r="E97">
            <v>0</v>
          </cell>
          <cell r="H97" t="str">
            <v>Bank</v>
          </cell>
          <cell r="I97" t="str">
            <v>Long</v>
          </cell>
          <cell r="N97" t="str">
            <v>Drawn</v>
          </cell>
          <cell r="Q97" t="str">
            <v>F</v>
          </cell>
          <cell r="R97">
            <v>0</v>
          </cell>
          <cell r="T97">
            <v>0</v>
          </cell>
          <cell r="AS97">
            <v>1.0054794520547945</v>
          </cell>
          <cell r="AT97">
            <v>0</v>
          </cell>
          <cell r="AU97">
            <v>5.0001581627811343E-3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5.0001581627811343E-3</v>
          </cell>
          <cell r="BG97">
            <v>5.0275562897004831E-3</v>
          </cell>
        </row>
        <row r="98">
          <cell r="C98" t="str">
            <v>T&amp;L</v>
          </cell>
          <cell r="D98" t="str">
            <v>Debt</v>
          </cell>
          <cell r="E98">
            <v>0</v>
          </cell>
          <cell r="H98" t="str">
            <v>Bank</v>
          </cell>
          <cell r="I98" t="str">
            <v>Long</v>
          </cell>
          <cell r="N98" t="str">
            <v>Drawn</v>
          </cell>
          <cell r="Q98" t="str">
            <v>F</v>
          </cell>
          <cell r="R98">
            <v>0</v>
          </cell>
          <cell r="T98">
            <v>0</v>
          </cell>
          <cell r="AS98">
            <v>2.0054794520547947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9">
          <cell r="C99" t="str">
            <v>T&amp;L</v>
          </cell>
          <cell r="D99" t="str">
            <v>Debt</v>
          </cell>
          <cell r="E99">
            <v>0</v>
          </cell>
          <cell r="H99" t="str">
            <v>Bank</v>
          </cell>
          <cell r="I99" t="str">
            <v>Long</v>
          </cell>
          <cell r="N99" t="str">
            <v>Drawn</v>
          </cell>
          <cell r="Q99" t="str">
            <v>F</v>
          </cell>
          <cell r="R99">
            <v>0</v>
          </cell>
          <cell r="T99">
            <v>0</v>
          </cell>
          <cell r="AS99">
            <v>3.0054794520547947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</row>
        <row r="100">
          <cell r="C100" t="str">
            <v>T&amp;L</v>
          </cell>
          <cell r="D100" t="str">
            <v>Debt</v>
          </cell>
          <cell r="E100">
            <v>0</v>
          </cell>
          <cell r="H100" t="str">
            <v>Bank</v>
          </cell>
          <cell r="I100" t="str">
            <v>Long</v>
          </cell>
          <cell r="N100" t="str">
            <v>Drawn</v>
          </cell>
          <cell r="Q100" t="str">
            <v>F</v>
          </cell>
          <cell r="R100">
            <v>0</v>
          </cell>
          <cell r="T100">
            <v>0</v>
          </cell>
          <cell r="AS100">
            <v>4.0054794520547947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1">
          <cell r="C101" t="str">
            <v>T&amp;L</v>
          </cell>
          <cell r="D101" t="str">
            <v>Debt</v>
          </cell>
          <cell r="E101">
            <v>0</v>
          </cell>
          <cell r="H101" t="str">
            <v>Bank</v>
          </cell>
          <cell r="I101" t="str">
            <v>Short</v>
          </cell>
          <cell r="N101" t="str">
            <v>Drawn</v>
          </cell>
          <cell r="Q101" t="str">
            <v>F</v>
          </cell>
          <cell r="R101">
            <v>0</v>
          </cell>
          <cell r="T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2">
          <cell r="C102" t="str">
            <v>T&amp;L</v>
          </cell>
          <cell r="D102" t="str">
            <v>Debt</v>
          </cell>
          <cell r="E102">
            <v>0</v>
          </cell>
          <cell r="H102" t="str">
            <v>Bank</v>
          </cell>
          <cell r="I102" t="str">
            <v>Long</v>
          </cell>
          <cell r="N102" t="str">
            <v>Drawn</v>
          </cell>
          <cell r="Q102" t="str">
            <v>F</v>
          </cell>
          <cell r="R102">
            <v>0</v>
          </cell>
          <cell r="T102">
            <v>0</v>
          </cell>
          <cell r="AS102">
            <v>1.0054794520547945</v>
          </cell>
          <cell r="AT102">
            <v>0</v>
          </cell>
          <cell r="AU102">
            <v>8.9832240248532966E-2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8.9832240248532966E-2</v>
          </cell>
          <cell r="BG102">
            <v>9.0324471701949585E-2</v>
          </cell>
        </row>
        <row r="103">
          <cell r="C103" t="str">
            <v>T&amp;L</v>
          </cell>
          <cell r="D103" t="str">
            <v>Debt</v>
          </cell>
          <cell r="E103">
            <v>0</v>
          </cell>
          <cell r="H103" t="str">
            <v>Bank</v>
          </cell>
          <cell r="I103" t="str">
            <v>Long</v>
          </cell>
          <cell r="N103" t="str">
            <v>Drawn</v>
          </cell>
          <cell r="Q103" t="str">
            <v>F</v>
          </cell>
          <cell r="R103">
            <v>0</v>
          </cell>
          <cell r="T103">
            <v>0</v>
          </cell>
          <cell r="AS103">
            <v>2.0054794520547947</v>
          </cell>
          <cell r="AT103">
            <v>0</v>
          </cell>
          <cell r="AU103">
            <v>0</v>
          </cell>
          <cell r="AV103">
            <v>8.9832240248532966E-2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8.9832240248532966E-2</v>
          </cell>
          <cell r="BG103">
            <v>0.18015671195048258</v>
          </cell>
        </row>
        <row r="104">
          <cell r="C104" t="str">
            <v>T&amp;L</v>
          </cell>
          <cell r="D104" t="str">
            <v>Debt</v>
          </cell>
          <cell r="E104">
            <v>0</v>
          </cell>
          <cell r="H104" t="str">
            <v>Bank</v>
          </cell>
          <cell r="I104" t="str">
            <v>Long</v>
          </cell>
          <cell r="N104" t="str">
            <v>Drawn</v>
          </cell>
          <cell r="Q104" t="str">
            <v>F</v>
          </cell>
          <cell r="R104">
            <v>0</v>
          </cell>
          <cell r="T104">
            <v>0</v>
          </cell>
          <cell r="AS104">
            <v>3.0054794520547947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8.9832240248532966E-2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8.9832240248532966E-2</v>
          </cell>
          <cell r="BG104">
            <v>0.26998895219901553</v>
          </cell>
        </row>
        <row r="105">
          <cell r="C105" t="str">
            <v>T&amp;L</v>
          </cell>
          <cell r="D105" t="str">
            <v>Debt</v>
          </cell>
          <cell r="E105">
            <v>0</v>
          </cell>
          <cell r="H105" t="str">
            <v>Bank</v>
          </cell>
          <cell r="I105" t="str">
            <v>Long</v>
          </cell>
          <cell r="N105" t="str">
            <v>Drawn</v>
          </cell>
          <cell r="Q105" t="str">
            <v>F</v>
          </cell>
          <cell r="R105">
            <v>0</v>
          </cell>
          <cell r="T105">
            <v>0</v>
          </cell>
          <cell r="AS105">
            <v>4.0054794520547947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2.4E-2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2.4E-2</v>
          </cell>
          <cell r="BG105">
            <v>9.6131506849315082E-2</v>
          </cell>
        </row>
        <row r="106">
          <cell r="C106" t="str">
            <v>Amylum</v>
          </cell>
          <cell r="D106" t="str">
            <v>Debt</v>
          </cell>
          <cell r="E106">
            <v>0</v>
          </cell>
          <cell r="H106" t="str">
            <v>Bank</v>
          </cell>
          <cell r="I106" t="str">
            <v>Long</v>
          </cell>
          <cell r="N106" t="str">
            <v>Drawn</v>
          </cell>
          <cell r="Q106">
            <v>1</v>
          </cell>
          <cell r="R106">
            <v>0</v>
          </cell>
          <cell r="T106">
            <v>0</v>
          </cell>
          <cell r="AS106">
            <v>2.2328767123287672</v>
          </cell>
          <cell r="AT106">
            <v>0</v>
          </cell>
          <cell r="AU106">
            <v>0</v>
          </cell>
          <cell r="AV106">
            <v>0.90576458405246818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0.90576458405246818</v>
          </cell>
          <cell r="BG106">
            <v>2.0224606465829083</v>
          </cell>
        </row>
        <row r="107">
          <cell r="C107" t="str">
            <v>Amylum</v>
          </cell>
          <cell r="D107" t="str">
            <v>Debt</v>
          </cell>
          <cell r="E107">
            <v>0</v>
          </cell>
          <cell r="H107" t="str">
            <v>Bank</v>
          </cell>
          <cell r="I107" t="str">
            <v>Long</v>
          </cell>
          <cell r="N107" t="str">
            <v>Drawn</v>
          </cell>
          <cell r="Q107">
            <v>1</v>
          </cell>
          <cell r="R107">
            <v>0</v>
          </cell>
          <cell r="T107">
            <v>0</v>
          </cell>
          <cell r="AS107">
            <v>2.2328767123287672</v>
          </cell>
          <cell r="AT107">
            <v>0</v>
          </cell>
          <cell r="AU107">
            <v>0</v>
          </cell>
          <cell r="AV107">
            <v>0.11874352778736624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0.11874352778736624</v>
          </cell>
          <cell r="BG107">
            <v>0.26513965793617394</v>
          </cell>
        </row>
        <row r="108">
          <cell r="C108" t="str">
            <v>Amylum</v>
          </cell>
          <cell r="D108" t="str">
            <v>Debt</v>
          </cell>
          <cell r="E108">
            <v>0</v>
          </cell>
          <cell r="H108" t="str">
            <v>Capital</v>
          </cell>
          <cell r="I108" t="str">
            <v>Long</v>
          </cell>
          <cell r="N108" t="str">
            <v>Drawn</v>
          </cell>
          <cell r="Q108" t="str">
            <v>V</v>
          </cell>
          <cell r="R108">
            <v>0</v>
          </cell>
          <cell r="T108" t="str">
            <v>Euribor</v>
          </cell>
          <cell r="AS108">
            <v>1.8602739726027397</v>
          </cell>
          <cell r="AT108">
            <v>0</v>
          </cell>
          <cell r="AU108">
            <v>49.284777355885396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49.284777355885396</v>
          </cell>
          <cell r="BG108">
            <v>91.683188560674481</v>
          </cell>
        </row>
        <row r="109">
          <cell r="C109" t="str">
            <v>Amylum</v>
          </cell>
          <cell r="D109" t="str">
            <v>Debt</v>
          </cell>
          <cell r="E109">
            <v>0</v>
          </cell>
          <cell r="H109" t="str">
            <v>Bank</v>
          </cell>
          <cell r="I109" t="str">
            <v>Long</v>
          </cell>
          <cell r="N109" t="str">
            <v>Drawn</v>
          </cell>
          <cell r="Q109" t="str">
            <v>V</v>
          </cell>
          <cell r="R109">
            <v>0</v>
          </cell>
          <cell r="T109">
            <v>0</v>
          </cell>
          <cell r="AS109">
            <v>0.50410958904109593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</row>
        <row r="110">
          <cell r="C110" t="str">
            <v>Amylum</v>
          </cell>
          <cell r="D110" t="str">
            <v>Debt</v>
          </cell>
          <cell r="E110">
            <v>0</v>
          </cell>
          <cell r="H110" t="str">
            <v>Bank</v>
          </cell>
          <cell r="I110" t="str">
            <v>Long</v>
          </cell>
          <cell r="N110" t="str">
            <v>Drawn</v>
          </cell>
          <cell r="Q110" t="str">
            <v>V</v>
          </cell>
          <cell r="R110">
            <v>0</v>
          </cell>
          <cell r="T110" t="str">
            <v>Euribor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</row>
        <row r="111">
          <cell r="C111" t="str">
            <v>Amylum</v>
          </cell>
          <cell r="D111" t="str">
            <v>Debt</v>
          </cell>
          <cell r="E111" t="str">
            <v>Bilateral</v>
          </cell>
          <cell r="H111" t="str">
            <v>Bank</v>
          </cell>
          <cell r="I111" t="str">
            <v>Long</v>
          </cell>
          <cell r="N111" t="str">
            <v>Drawn</v>
          </cell>
          <cell r="Q111" t="str">
            <v>V</v>
          </cell>
          <cell r="R111">
            <v>0</v>
          </cell>
          <cell r="T111" t="str">
            <v>Euribor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2">
          <cell r="C112" t="str">
            <v>Amylum</v>
          </cell>
          <cell r="D112" t="str">
            <v>Debt</v>
          </cell>
          <cell r="E112" t="str">
            <v>Bilateral</v>
          </cell>
          <cell r="H112" t="str">
            <v>Bank</v>
          </cell>
          <cell r="I112" t="str">
            <v>Long</v>
          </cell>
          <cell r="N112" t="str">
            <v>Drawn</v>
          </cell>
          <cell r="Q112" t="str">
            <v>V</v>
          </cell>
          <cell r="R112">
            <v>0</v>
          </cell>
          <cell r="T112" t="str">
            <v>Euribor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3">
          <cell r="C113" t="str">
            <v>Amylum</v>
          </cell>
          <cell r="D113" t="str">
            <v>Debt</v>
          </cell>
          <cell r="E113" t="str">
            <v>Bilateral</v>
          </cell>
          <cell r="H113" t="str">
            <v>Bank</v>
          </cell>
          <cell r="I113" t="str">
            <v>Long</v>
          </cell>
          <cell r="N113" t="str">
            <v>Drawn</v>
          </cell>
          <cell r="Q113" t="str">
            <v>V</v>
          </cell>
          <cell r="R113">
            <v>0</v>
          </cell>
          <cell r="T113" t="str">
            <v>Euribor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</row>
        <row r="114">
          <cell r="C114" t="str">
            <v>Amylum</v>
          </cell>
          <cell r="D114" t="str">
            <v>Debt</v>
          </cell>
          <cell r="E114">
            <v>0</v>
          </cell>
          <cell r="H114" t="str">
            <v>Bank</v>
          </cell>
          <cell r="I114" t="str">
            <v>Long</v>
          </cell>
          <cell r="N114" t="str">
            <v>Drawn</v>
          </cell>
          <cell r="Q114" t="str">
            <v>V</v>
          </cell>
          <cell r="R114">
            <v>0</v>
          </cell>
          <cell r="T114" t="str">
            <v>£Libor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5">
          <cell r="C115" t="str">
            <v>Amylum</v>
          </cell>
          <cell r="D115" t="str">
            <v>Debt</v>
          </cell>
          <cell r="E115">
            <v>0</v>
          </cell>
          <cell r="H115" t="str">
            <v>Bank</v>
          </cell>
          <cell r="I115" t="str">
            <v>Long</v>
          </cell>
          <cell r="N115" t="str">
            <v>Drawn</v>
          </cell>
          <cell r="Q115" t="str">
            <v>V</v>
          </cell>
          <cell r="R115">
            <v>0</v>
          </cell>
          <cell r="T115" t="str">
            <v>Euribor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</row>
        <row r="116">
          <cell r="C116" t="str">
            <v>Amylum</v>
          </cell>
          <cell r="D116" t="str">
            <v>Debt</v>
          </cell>
          <cell r="E116">
            <v>0</v>
          </cell>
          <cell r="H116" t="str">
            <v>Bank</v>
          </cell>
          <cell r="I116" t="str">
            <v>Long</v>
          </cell>
          <cell r="N116" t="str">
            <v>Drawn</v>
          </cell>
          <cell r="Q116" t="str">
            <v>V</v>
          </cell>
          <cell r="R116">
            <v>0</v>
          </cell>
          <cell r="T116" t="str">
            <v>Euribor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7">
          <cell r="C117" t="str">
            <v>Amylum</v>
          </cell>
          <cell r="D117" t="str">
            <v>Debt</v>
          </cell>
          <cell r="E117">
            <v>0</v>
          </cell>
          <cell r="H117" t="str">
            <v>Bank</v>
          </cell>
          <cell r="I117" t="str">
            <v>Long</v>
          </cell>
          <cell r="N117" t="str">
            <v>Drawn</v>
          </cell>
          <cell r="Q117" t="str">
            <v>V</v>
          </cell>
          <cell r="R117">
            <v>0</v>
          </cell>
          <cell r="T117" t="str">
            <v>Euribor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</row>
        <row r="118">
          <cell r="C118" t="str">
            <v>Amylum</v>
          </cell>
          <cell r="D118" t="str">
            <v>Debt</v>
          </cell>
          <cell r="E118">
            <v>0</v>
          </cell>
          <cell r="H118" t="str">
            <v>Bank</v>
          </cell>
          <cell r="I118" t="str">
            <v>Long</v>
          </cell>
          <cell r="N118" t="str">
            <v>Drawn</v>
          </cell>
          <cell r="Q118" t="str">
            <v>V</v>
          </cell>
          <cell r="R118">
            <v>0</v>
          </cell>
          <cell r="T118" t="str">
            <v>Euribor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</row>
        <row r="119">
          <cell r="C119" t="str">
            <v>Amylum</v>
          </cell>
          <cell r="D119" t="str">
            <v>Debt</v>
          </cell>
          <cell r="E119">
            <v>0</v>
          </cell>
          <cell r="H119" t="str">
            <v>Bank</v>
          </cell>
          <cell r="I119" t="str">
            <v>Short</v>
          </cell>
          <cell r="N119" t="str">
            <v>Drawn</v>
          </cell>
          <cell r="Q119" t="str">
            <v>V</v>
          </cell>
          <cell r="R119">
            <v>0</v>
          </cell>
          <cell r="T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</row>
        <row r="120">
          <cell r="C120" t="str">
            <v>T&amp;L</v>
          </cell>
          <cell r="D120" t="str">
            <v>Debt</v>
          </cell>
          <cell r="E120" t="str">
            <v>Bilateral</v>
          </cell>
          <cell r="H120" t="str">
            <v>Bank</v>
          </cell>
          <cell r="I120" t="str">
            <v>Long</v>
          </cell>
          <cell r="N120" t="str">
            <v>Undrawn</v>
          </cell>
          <cell r="Q120" t="str">
            <v>V</v>
          </cell>
          <cell r="R120">
            <v>0</v>
          </cell>
          <cell r="T120" t="str">
            <v>$Libor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</row>
        <row r="121">
          <cell r="C121" t="str">
            <v>T&amp;L</v>
          </cell>
          <cell r="D121" t="str">
            <v>Debt</v>
          </cell>
          <cell r="E121" t="str">
            <v>Bilateral</v>
          </cell>
          <cell r="H121" t="str">
            <v>Bank</v>
          </cell>
          <cell r="I121" t="str">
            <v>Long</v>
          </cell>
          <cell r="N121" t="str">
            <v>Undrawn</v>
          </cell>
          <cell r="Q121" t="str">
            <v>V</v>
          </cell>
          <cell r="R121">
            <v>0</v>
          </cell>
          <cell r="T121" t="str">
            <v>$Libor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2">
          <cell r="C122" t="str">
            <v>T&amp;L</v>
          </cell>
          <cell r="D122" t="str">
            <v>Debt</v>
          </cell>
          <cell r="E122" t="str">
            <v>Bilateral</v>
          </cell>
          <cell r="H122" t="str">
            <v>Bank</v>
          </cell>
          <cell r="I122" t="str">
            <v>Long</v>
          </cell>
          <cell r="N122" t="str">
            <v>Undrawn</v>
          </cell>
          <cell r="Q122" t="str">
            <v>V</v>
          </cell>
          <cell r="R122">
            <v>0</v>
          </cell>
          <cell r="T122" t="str">
            <v>$Libor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</row>
        <row r="123">
          <cell r="C123" t="str">
            <v>T&amp;L</v>
          </cell>
          <cell r="D123" t="str">
            <v>Debt</v>
          </cell>
          <cell r="E123" t="str">
            <v>Bilateral</v>
          </cell>
          <cell r="H123" t="str">
            <v>Bank</v>
          </cell>
          <cell r="I123" t="str">
            <v>Long</v>
          </cell>
          <cell r="N123" t="str">
            <v>Undrawn</v>
          </cell>
          <cell r="Q123" t="str">
            <v>V</v>
          </cell>
          <cell r="R123">
            <v>0</v>
          </cell>
          <cell r="T123" t="str">
            <v>$Libor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</row>
        <row r="124">
          <cell r="C124" t="str">
            <v>T&amp;L</v>
          </cell>
          <cell r="D124" t="str">
            <v>Debt</v>
          </cell>
          <cell r="E124" t="str">
            <v>Bilateral</v>
          </cell>
          <cell r="H124" t="str">
            <v>Bank</v>
          </cell>
          <cell r="I124" t="str">
            <v>Long</v>
          </cell>
          <cell r="N124" t="str">
            <v>Undrawn</v>
          </cell>
          <cell r="Q124" t="str">
            <v>V</v>
          </cell>
          <cell r="R124">
            <v>0</v>
          </cell>
          <cell r="T124" t="str">
            <v>$Libor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5">
          <cell r="C125" t="str">
            <v>T&amp;L</v>
          </cell>
          <cell r="D125" t="str">
            <v>Debt</v>
          </cell>
          <cell r="E125" t="str">
            <v>Bilateral</v>
          </cell>
          <cell r="H125" t="str">
            <v>Bank</v>
          </cell>
          <cell r="I125" t="str">
            <v>Long</v>
          </cell>
          <cell r="N125" t="str">
            <v>Undrawn</v>
          </cell>
          <cell r="Q125" t="str">
            <v>V</v>
          </cell>
          <cell r="R125">
            <v>0</v>
          </cell>
          <cell r="T125" t="str">
            <v>$Libor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</row>
        <row r="126">
          <cell r="C126" t="str">
            <v>T&amp;L</v>
          </cell>
          <cell r="D126" t="str">
            <v>Debt</v>
          </cell>
          <cell r="E126" t="str">
            <v>Bilateral</v>
          </cell>
          <cell r="H126" t="str">
            <v>Bank</v>
          </cell>
          <cell r="I126" t="str">
            <v>Long</v>
          </cell>
          <cell r="N126" t="str">
            <v>Undrawn</v>
          </cell>
          <cell r="Q126" t="str">
            <v>V</v>
          </cell>
          <cell r="R126">
            <v>0</v>
          </cell>
          <cell r="T126" t="str">
            <v>$Libor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</row>
        <row r="127">
          <cell r="C127" t="str">
            <v>T&amp;L</v>
          </cell>
          <cell r="D127" t="str">
            <v>Debt</v>
          </cell>
          <cell r="E127" t="str">
            <v>Bilateral</v>
          </cell>
          <cell r="H127" t="str">
            <v>Bank</v>
          </cell>
          <cell r="I127" t="str">
            <v>Long</v>
          </cell>
          <cell r="N127" t="str">
            <v>Undrawn</v>
          </cell>
          <cell r="Q127" t="str">
            <v>V</v>
          </cell>
          <cell r="R127">
            <v>0</v>
          </cell>
          <cell r="T127" t="str">
            <v>$Libor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8">
          <cell r="C128" t="str">
            <v>T&amp;L</v>
          </cell>
          <cell r="D128" t="str">
            <v>Debt</v>
          </cell>
          <cell r="E128" t="str">
            <v>Bilateral</v>
          </cell>
          <cell r="H128" t="str">
            <v>Bank</v>
          </cell>
          <cell r="I128" t="str">
            <v>Long</v>
          </cell>
          <cell r="N128" t="str">
            <v>Undrawn</v>
          </cell>
          <cell r="Q128" t="str">
            <v>V</v>
          </cell>
          <cell r="R128">
            <v>0</v>
          </cell>
          <cell r="T128" t="str">
            <v>$Libor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</row>
        <row r="129">
          <cell r="C129" t="str">
            <v>T&amp;L</v>
          </cell>
          <cell r="D129" t="str">
            <v>Debt</v>
          </cell>
          <cell r="E129" t="str">
            <v>Bilateral</v>
          </cell>
          <cell r="H129" t="str">
            <v>Bank</v>
          </cell>
          <cell r="I129" t="str">
            <v>Long</v>
          </cell>
          <cell r="N129" t="str">
            <v>Undrawn</v>
          </cell>
          <cell r="Q129" t="str">
            <v>V</v>
          </cell>
          <cell r="R129">
            <v>0</v>
          </cell>
          <cell r="T129" t="str">
            <v>$Libor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</row>
        <row r="130">
          <cell r="C130" t="str">
            <v>T&amp;L</v>
          </cell>
          <cell r="D130" t="str">
            <v>Debt</v>
          </cell>
          <cell r="E130" t="str">
            <v>Syndicated</v>
          </cell>
          <cell r="H130" t="str">
            <v>Bank</v>
          </cell>
          <cell r="I130" t="str">
            <v>Long</v>
          </cell>
          <cell r="N130" t="str">
            <v>Undrawn</v>
          </cell>
          <cell r="Q130" t="str">
            <v>V</v>
          </cell>
          <cell r="R130">
            <v>0</v>
          </cell>
          <cell r="T130" t="str">
            <v>£Libor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</row>
        <row r="131">
          <cell r="C131" t="str">
            <v>T&amp;L</v>
          </cell>
          <cell r="D131" t="str">
            <v>Debt</v>
          </cell>
          <cell r="E131" t="str">
            <v>Bilateral</v>
          </cell>
          <cell r="H131" t="str">
            <v>Bank</v>
          </cell>
          <cell r="I131" t="str">
            <v>Long</v>
          </cell>
          <cell r="N131" t="str">
            <v>Undrawn</v>
          </cell>
          <cell r="Q131" t="str">
            <v>V</v>
          </cell>
          <cell r="R131">
            <v>0</v>
          </cell>
          <cell r="T131" t="str">
            <v>$Libor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</row>
        <row r="132">
          <cell r="C132" t="str">
            <v>T&amp;L</v>
          </cell>
          <cell r="D132" t="str">
            <v>Debt</v>
          </cell>
          <cell r="E132" t="str">
            <v>Bilateral</v>
          </cell>
          <cell r="H132" t="str">
            <v>Bank</v>
          </cell>
          <cell r="I132" t="str">
            <v>Long</v>
          </cell>
          <cell r="N132" t="str">
            <v>Undrawn</v>
          </cell>
          <cell r="Q132" t="str">
            <v>V</v>
          </cell>
          <cell r="R132">
            <v>0</v>
          </cell>
          <cell r="T132" t="str">
            <v>$Libor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3">
          <cell r="C133" t="str">
            <v>T&amp;L</v>
          </cell>
          <cell r="D133" t="str">
            <v>Debt</v>
          </cell>
          <cell r="E133" t="str">
            <v>Bilateral</v>
          </cell>
          <cell r="H133" t="str">
            <v>Bank</v>
          </cell>
          <cell r="I133" t="str">
            <v>Long</v>
          </cell>
          <cell r="N133" t="str">
            <v>Undrawn</v>
          </cell>
          <cell r="Q133" t="str">
            <v>V</v>
          </cell>
          <cell r="R133">
            <v>0</v>
          </cell>
          <cell r="T133" t="str">
            <v>$Libor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4">
          <cell r="C134" t="str">
            <v>T&amp;L</v>
          </cell>
          <cell r="D134" t="str">
            <v>Debt</v>
          </cell>
          <cell r="E134" t="str">
            <v>Bilateral</v>
          </cell>
          <cell r="H134" t="str">
            <v>Bank</v>
          </cell>
          <cell r="I134" t="str">
            <v>Long</v>
          </cell>
          <cell r="N134" t="str">
            <v>Undrawn</v>
          </cell>
          <cell r="Q134" t="str">
            <v>V</v>
          </cell>
          <cell r="R134">
            <v>0</v>
          </cell>
          <cell r="T134" t="str">
            <v>$Libor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</row>
        <row r="135">
          <cell r="C135" t="str">
            <v>T&amp;L</v>
          </cell>
          <cell r="D135" t="str">
            <v>Debt</v>
          </cell>
          <cell r="E135" t="str">
            <v>Bilateral</v>
          </cell>
          <cell r="H135" t="str">
            <v>Bank</v>
          </cell>
          <cell r="I135" t="str">
            <v>Long</v>
          </cell>
          <cell r="N135" t="str">
            <v>Undrawn</v>
          </cell>
          <cell r="Q135" t="str">
            <v>V</v>
          </cell>
          <cell r="R135">
            <v>0</v>
          </cell>
          <cell r="T135" t="str">
            <v>$Libor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6">
          <cell r="C136" t="str">
            <v>T&amp;L</v>
          </cell>
          <cell r="D136" t="str">
            <v>Debt</v>
          </cell>
          <cell r="E136" t="str">
            <v>Bilateral</v>
          </cell>
          <cell r="H136" t="str">
            <v>Bank</v>
          </cell>
          <cell r="I136" t="str">
            <v>Long</v>
          </cell>
          <cell r="N136" t="str">
            <v>Undrawn</v>
          </cell>
          <cell r="Q136" t="str">
            <v>V</v>
          </cell>
          <cell r="R136">
            <v>0</v>
          </cell>
          <cell r="T136" t="str">
            <v>$Libor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</row>
        <row r="137">
          <cell r="C137" t="str">
            <v>T&amp;L</v>
          </cell>
          <cell r="D137" t="str">
            <v>Debt</v>
          </cell>
          <cell r="E137" t="str">
            <v>Bilateral</v>
          </cell>
          <cell r="H137" t="str">
            <v>Bank</v>
          </cell>
          <cell r="I137" t="str">
            <v>Long</v>
          </cell>
          <cell r="N137" t="str">
            <v>Undrawn</v>
          </cell>
          <cell r="Q137" t="str">
            <v>V</v>
          </cell>
          <cell r="R137">
            <v>0</v>
          </cell>
          <cell r="T137" t="str">
            <v>$Libor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8">
          <cell r="C138" t="str">
            <v>T&amp;L</v>
          </cell>
          <cell r="D138" t="str">
            <v>Debt</v>
          </cell>
          <cell r="E138" t="str">
            <v>Bilateral</v>
          </cell>
          <cell r="H138" t="str">
            <v>Bank</v>
          </cell>
          <cell r="I138" t="str">
            <v>Long</v>
          </cell>
          <cell r="N138" t="str">
            <v>Undrawn</v>
          </cell>
          <cell r="Q138" t="str">
            <v>V</v>
          </cell>
          <cell r="R138">
            <v>0</v>
          </cell>
          <cell r="T138" t="str">
            <v>$Libor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</row>
        <row r="139">
          <cell r="C139" t="str">
            <v>T&amp;L</v>
          </cell>
          <cell r="D139" t="str">
            <v>Debt</v>
          </cell>
          <cell r="E139" t="str">
            <v>Bilateral</v>
          </cell>
          <cell r="H139" t="str">
            <v>Bank</v>
          </cell>
          <cell r="I139" t="str">
            <v>Long</v>
          </cell>
          <cell r="N139" t="str">
            <v>Undrawn</v>
          </cell>
          <cell r="Q139" t="str">
            <v>V</v>
          </cell>
          <cell r="R139">
            <v>0</v>
          </cell>
          <cell r="T139" t="str">
            <v>$Libor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</row>
        <row r="140">
          <cell r="C140" t="str">
            <v>T&amp;L</v>
          </cell>
          <cell r="D140" t="str">
            <v>Debt</v>
          </cell>
          <cell r="E140" t="str">
            <v>Bilateral</v>
          </cell>
          <cell r="H140" t="str">
            <v>Bank</v>
          </cell>
          <cell r="I140" t="str">
            <v>Long</v>
          </cell>
          <cell r="N140" t="str">
            <v>Undrawn</v>
          </cell>
          <cell r="Q140" t="str">
            <v>V</v>
          </cell>
          <cell r="R140">
            <v>0</v>
          </cell>
          <cell r="T140" t="str">
            <v>$Libor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1">
          <cell r="C141" t="str">
            <v>T&amp;L</v>
          </cell>
          <cell r="D141" t="str">
            <v>Debt</v>
          </cell>
          <cell r="E141" t="str">
            <v>Bilateral</v>
          </cell>
          <cell r="H141" t="str">
            <v>Bank</v>
          </cell>
          <cell r="I141" t="str">
            <v>Long</v>
          </cell>
          <cell r="N141" t="str">
            <v>Undrawn</v>
          </cell>
          <cell r="Q141" t="str">
            <v>V</v>
          </cell>
          <cell r="R141">
            <v>0</v>
          </cell>
          <cell r="T141" t="str">
            <v>$Libor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</row>
        <row r="142">
          <cell r="C142" t="str">
            <v>T&amp;L</v>
          </cell>
          <cell r="D142" t="str">
            <v>Debt</v>
          </cell>
          <cell r="E142" t="str">
            <v>Bilateral</v>
          </cell>
          <cell r="H142" t="str">
            <v>Bank</v>
          </cell>
          <cell r="I142" t="str">
            <v>Long</v>
          </cell>
          <cell r="N142" t="str">
            <v>Undrawn</v>
          </cell>
          <cell r="Q142" t="str">
            <v>V</v>
          </cell>
          <cell r="R142">
            <v>0</v>
          </cell>
          <cell r="T142" t="str">
            <v>$Libor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</row>
        <row r="143">
          <cell r="C143" t="str">
            <v>T&amp;L</v>
          </cell>
          <cell r="D143" t="str">
            <v>Debt</v>
          </cell>
          <cell r="E143" t="str">
            <v>Bilateral</v>
          </cell>
          <cell r="H143" t="str">
            <v>Bank</v>
          </cell>
          <cell r="I143" t="str">
            <v>Long</v>
          </cell>
          <cell r="N143" t="str">
            <v>Undrawn</v>
          </cell>
          <cell r="Q143" t="str">
            <v>V</v>
          </cell>
          <cell r="R143">
            <v>0</v>
          </cell>
          <cell r="T143" t="str">
            <v>$Libor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</row>
        <row r="144">
          <cell r="C144" t="str">
            <v>T&amp;L</v>
          </cell>
          <cell r="D144" t="str">
            <v>Debt</v>
          </cell>
          <cell r="E144" t="str">
            <v>Bilateral</v>
          </cell>
          <cell r="H144" t="str">
            <v>Bank</v>
          </cell>
          <cell r="I144" t="str">
            <v>Long</v>
          </cell>
          <cell r="N144" t="str">
            <v>Undrawn</v>
          </cell>
          <cell r="Q144" t="str">
            <v>V</v>
          </cell>
          <cell r="R144">
            <v>0</v>
          </cell>
          <cell r="T144" t="str">
            <v>$Libor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</row>
        <row r="145">
          <cell r="C145" t="str">
            <v>T&amp;L</v>
          </cell>
          <cell r="D145" t="str">
            <v>Debt</v>
          </cell>
          <cell r="E145" t="str">
            <v>Bilateral</v>
          </cell>
          <cell r="H145" t="str">
            <v>Bank</v>
          </cell>
          <cell r="I145" t="str">
            <v>Long</v>
          </cell>
          <cell r="N145" t="str">
            <v>Undrawn</v>
          </cell>
          <cell r="Q145" t="str">
            <v>V</v>
          </cell>
          <cell r="R145">
            <v>0</v>
          </cell>
          <cell r="T145" t="str">
            <v>$Libor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</row>
        <row r="146">
          <cell r="C146" t="str">
            <v>T&amp;L</v>
          </cell>
          <cell r="D146" t="str">
            <v>Debt</v>
          </cell>
          <cell r="E146" t="str">
            <v>Bilateral</v>
          </cell>
          <cell r="H146" t="str">
            <v>Bank</v>
          </cell>
          <cell r="I146" t="str">
            <v>Long</v>
          </cell>
          <cell r="N146" t="str">
            <v>Undrawn</v>
          </cell>
          <cell r="Q146" t="str">
            <v>V</v>
          </cell>
          <cell r="R146">
            <v>0</v>
          </cell>
          <cell r="T146" t="str">
            <v>$Libor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</row>
        <row r="147">
          <cell r="C147" t="str">
            <v>T&amp;L</v>
          </cell>
          <cell r="D147" t="str">
            <v>Debt</v>
          </cell>
          <cell r="E147" t="str">
            <v>Bilateral</v>
          </cell>
          <cell r="H147" t="str">
            <v>Bank</v>
          </cell>
          <cell r="I147" t="str">
            <v>Long</v>
          </cell>
          <cell r="N147" t="str">
            <v>Undrawn</v>
          </cell>
          <cell r="Q147" t="str">
            <v>V</v>
          </cell>
          <cell r="R147">
            <v>0</v>
          </cell>
          <cell r="T147" t="str">
            <v>$Libor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</row>
        <row r="148">
          <cell r="C148" t="str">
            <v>T&amp;L</v>
          </cell>
          <cell r="D148" t="str">
            <v>Debt</v>
          </cell>
          <cell r="E148" t="str">
            <v>IRS</v>
          </cell>
          <cell r="H148">
            <v>0</v>
          </cell>
          <cell r="I148">
            <v>0</v>
          </cell>
          <cell r="N148" t="str">
            <v>Drawn</v>
          </cell>
          <cell r="Q148" t="str">
            <v>F</v>
          </cell>
          <cell r="R148">
            <v>0</v>
          </cell>
          <cell r="T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9">
          <cell r="C149" t="str">
            <v>T&amp;L</v>
          </cell>
          <cell r="D149" t="str">
            <v>Debt</v>
          </cell>
          <cell r="E149" t="str">
            <v>IRS</v>
          </cell>
          <cell r="H149">
            <v>0</v>
          </cell>
          <cell r="I149">
            <v>0</v>
          </cell>
          <cell r="N149" t="str">
            <v>Drawn</v>
          </cell>
          <cell r="Q149">
            <v>0</v>
          </cell>
          <cell r="R149" t="str">
            <v>V</v>
          </cell>
          <cell r="T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</row>
        <row r="150">
          <cell r="C150" t="str">
            <v>T&amp;L</v>
          </cell>
          <cell r="D150" t="str">
            <v>Debt</v>
          </cell>
          <cell r="E150" t="str">
            <v>IRS</v>
          </cell>
          <cell r="H150">
            <v>0</v>
          </cell>
          <cell r="I150">
            <v>0</v>
          </cell>
          <cell r="N150" t="str">
            <v>Drawn</v>
          </cell>
          <cell r="Q150" t="str">
            <v>F</v>
          </cell>
          <cell r="R150">
            <v>0</v>
          </cell>
          <cell r="T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</row>
        <row r="151">
          <cell r="C151" t="str">
            <v>T&amp;L</v>
          </cell>
          <cell r="D151" t="str">
            <v>Debt</v>
          </cell>
          <cell r="E151" t="str">
            <v>IRS</v>
          </cell>
          <cell r="H151">
            <v>0</v>
          </cell>
          <cell r="I151">
            <v>0</v>
          </cell>
          <cell r="N151" t="str">
            <v>Drawn</v>
          </cell>
          <cell r="Q151">
            <v>0</v>
          </cell>
          <cell r="R151" t="str">
            <v>V</v>
          </cell>
          <cell r="T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</row>
        <row r="152">
          <cell r="C152" t="str">
            <v>T&amp;L</v>
          </cell>
          <cell r="D152" t="str">
            <v>Debt</v>
          </cell>
          <cell r="E152" t="str">
            <v>IRS</v>
          </cell>
          <cell r="H152">
            <v>0</v>
          </cell>
          <cell r="I152">
            <v>0</v>
          </cell>
          <cell r="N152" t="str">
            <v>Drawn</v>
          </cell>
          <cell r="Q152" t="str">
            <v>F</v>
          </cell>
          <cell r="R152">
            <v>0</v>
          </cell>
          <cell r="T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3">
          <cell r="C153" t="str">
            <v>T&amp;L</v>
          </cell>
          <cell r="D153" t="str">
            <v>Debt</v>
          </cell>
          <cell r="E153" t="str">
            <v>IRS</v>
          </cell>
          <cell r="H153">
            <v>0</v>
          </cell>
          <cell r="I153">
            <v>0</v>
          </cell>
          <cell r="N153" t="str">
            <v>Drawn</v>
          </cell>
          <cell r="Q153">
            <v>0</v>
          </cell>
          <cell r="R153" t="str">
            <v>V</v>
          </cell>
          <cell r="T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4">
          <cell r="C154" t="str">
            <v>T&amp;L</v>
          </cell>
          <cell r="D154" t="str">
            <v>Debt</v>
          </cell>
          <cell r="E154" t="str">
            <v>IRS</v>
          </cell>
          <cell r="H154">
            <v>0</v>
          </cell>
          <cell r="I154">
            <v>0</v>
          </cell>
          <cell r="N154" t="str">
            <v>Drawn</v>
          </cell>
          <cell r="Q154" t="str">
            <v>F</v>
          </cell>
          <cell r="R154">
            <v>0</v>
          </cell>
          <cell r="T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</row>
        <row r="155">
          <cell r="C155" t="str">
            <v>T&amp;L</v>
          </cell>
          <cell r="D155" t="str">
            <v>Debt</v>
          </cell>
          <cell r="E155" t="str">
            <v>IRS</v>
          </cell>
          <cell r="H155">
            <v>0</v>
          </cell>
          <cell r="I155">
            <v>0</v>
          </cell>
          <cell r="N155" t="str">
            <v>Drawn</v>
          </cell>
          <cell r="Q155">
            <v>0</v>
          </cell>
          <cell r="R155" t="str">
            <v>V</v>
          </cell>
          <cell r="T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6">
          <cell r="C156" t="str">
            <v>T&amp;L</v>
          </cell>
          <cell r="D156" t="str">
            <v>Debt</v>
          </cell>
          <cell r="E156" t="str">
            <v>IRS</v>
          </cell>
          <cell r="H156">
            <v>0</v>
          </cell>
          <cell r="I156">
            <v>0</v>
          </cell>
          <cell r="N156" t="str">
            <v>Drawn</v>
          </cell>
          <cell r="Q156" t="str">
            <v>F</v>
          </cell>
          <cell r="R156">
            <v>0</v>
          </cell>
          <cell r="T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</row>
        <row r="157">
          <cell r="C157" t="str">
            <v>T&amp;L</v>
          </cell>
          <cell r="D157" t="str">
            <v>Debt</v>
          </cell>
          <cell r="E157" t="str">
            <v>IRS</v>
          </cell>
          <cell r="H157">
            <v>0</v>
          </cell>
          <cell r="I157">
            <v>0</v>
          </cell>
          <cell r="N157" t="str">
            <v>Drawn</v>
          </cell>
          <cell r="Q157">
            <v>0</v>
          </cell>
          <cell r="R157" t="str">
            <v>V</v>
          </cell>
          <cell r="T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</row>
        <row r="158">
          <cell r="C158" t="str">
            <v>T&amp;L</v>
          </cell>
          <cell r="D158" t="str">
            <v>Debt</v>
          </cell>
          <cell r="E158" t="str">
            <v>IRS</v>
          </cell>
          <cell r="H158">
            <v>0</v>
          </cell>
          <cell r="I158">
            <v>0</v>
          </cell>
          <cell r="N158" t="str">
            <v>Drawn</v>
          </cell>
          <cell r="Q158" t="str">
            <v>V</v>
          </cell>
          <cell r="R158">
            <v>0</v>
          </cell>
          <cell r="T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</row>
        <row r="159">
          <cell r="C159" t="str">
            <v>T&amp;L</v>
          </cell>
          <cell r="D159" t="str">
            <v>Debt</v>
          </cell>
          <cell r="E159" t="str">
            <v>IRS</v>
          </cell>
          <cell r="H159">
            <v>0</v>
          </cell>
          <cell r="I159">
            <v>0</v>
          </cell>
          <cell r="N159" t="str">
            <v>Drawn</v>
          </cell>
          <cell r="Q159">
            <v>0</v>
          </cell>
          <cell r="R159" t="str">
            <v>F</v>
          </cell>
          <cell r="T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C160" t="str">
            <v>T&amp;L</v>
          </cell>
          <cell r="D160" t="str">
            <v>Debt</v>
          </cell>
          <cell r="E160" t="str">
            <v>IRS</v>
          </cell>
          <cell r="H160">
            <v>0</v>
          </cell>
          <cell r="I160">
            <v>0</v>
          </cell>
          <cell r="N160" t="str">
            <v>Drawn</v>
          </cell>
          <cell r="Q160" t="str">
            <v>V</v>
          </cell>
          <cell r="R160">
            <v>0</v>
          </cell>
          <cell r="T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C161" t="str">
            <v>T&amp;L</v>
          </cell>
          <cell r="D161" t="str">
            <v>Debt</v>
          </cell>
          <cell r="E161" t="str">
            <v>IRS</v>
          </cell>
          <cell r="H161">
            <v>0</v>
          </cell>
          <cell r="I161">
            <v>0</v>
          </cell>
          <cell r="N161" t="str">
            <v>Drawn</v>
          </cell>
          <cell r="Q161">
            <v>0</v>
          </cell>
          <cell r="R161" t="str">
            <v>F</v>
          </cell>
          <cell r="T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</row>
        <row r="162">
          <cell r="C162" t="str">
            <v>T&amp;L</v>
          </cell>
          <cell r="D162" t="str">
            <v>Debt</v>
          </cell>
          <cell r="E162" t="str">
            <v>IRS</v>
          </cell>
          <cell r="H162">
            <v>0</v>
          </cell>
          <cell r="I162">
            <v>0</v>
          </cell>
          <cell r="N162" t="str">
            <v>Drawn</v>
          </cell>
          <cell r="Q162" t="str">
            <v>F</v>
          </cell>
          <cell r="R162">
            <v>0</v>
          </cell>
          <cell r="T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3">
          <cell r="C163" t="str">
            <v>T&amp;L</v>
          </cell>
          <cell r="D163" t="str">
            <v>Debt</v>
          </cell>
          <cell r="E163" t="str">
            <v>IRS</v>
          </cell>
          <cell r="H163">
            <v>0</v>
          </cell>
          <cell r="I163">
            <v>0</v>
          </cell>
          <cell r="N163" t="str">
            <v>Drawn</v>
          </cell>
          <cell r="Q163">
            <v>0</v>
          </cell>
          <cell r="R163" t="str">
            <v>V</v>
          </cell>
          <cell r="T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</row>
        <row r="164">
          <cell r="C164" t="str">
            <v>T&amp;L</v>
          </cell>
          <cell r="D164" t="str">
            <v>Debt</v>
          </cell>
          <cell r="E164" t="str">
            <v>IRS</v>
          </cell>
          <cell r="H164">
            <v>0</v>
          </cell>
          <cell r="I164">
            <v>0</v>
          </cell>
          <cell r="N164" t="str">
            <v>Drawn</v>
          </cell>
          <cell r="Q164" t="str">
            <v>F</v>
          </cell>
          <cell r="R164">
            <v>0</v>
          </cell>
          <cell r="T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C165" t="str">
            <v>T&amp;L</v>
          </cell>
          <cell r="D165" t="str">
            <v>Debt</v>
          </cell>
          <cell r="E165" t="str">
            <v>IRS</v>
          </cell>
          <cell r="H165">
            <v>0</v>
          </cell>
          <cell r="I165">
            <v>0</v>
          </cell>
          <cell r="N165" t="str">
            <v>Drawn</v>
          </cell>
          <cell r="Q165">
            <v>0</v>
          </cell>
          <cell r="R165" t="str">
            <v>V</v>
          </cell>
          <cell r="T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</row>
        <row r="166">
          <cell r="C166" t="str">
            <v>T&amp;L</v>
          </cell>
          <cell r="D166" t="str">
            <v>Debt</v>
          </cell>
          <cell r="E166" t="str">
            <v>IRS</v>
          </cell>
          <cell r="H166">
            <v>0</v>
          </cell>
          <cell r="I166">
            <v>0</v>
          </cell>
          <cell r="N166" t="str">
            <v>Drawn</v>
          </cell>
          <cell r="Q166" t="str">
            <v>F</v>
          </cell>
          <cell r="R166">
            <v>0</v>
          </cell>
          <cell r="T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</row>
        <row r="167">
          <cell r="C167" t="str">
            <v>T&amp;L</v>
          </cell>
          <cell r="D167" t="str">
            <v>Debt</v>
          </cell>
          <cell r="E167" t="str">
            <v>IRS</v>
          </cell>
          <cell r="H167">
            <v>0</v>
          </cell>
          <cell r="I167">
            <v>0</v>
          </cell>
          <cell r="N167" t="str">
            <v>Drawn</v>
          </cell>
          <cell r="Q167">
            <v>0</v>
          </cell>
          <cell r="R167" t="str">
            <v>V</v>
          </cell>
          <cell r="T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C168" t="str">
            <v>T&amp;L</v>
          </cell>
          <cell r="D168" t="str">
            <v>Debt</v>
          </cell>
          <cell r="E168" t="str">
            <v>IRS</v>
          </cell>
          <cell r="H168">
            <v>0</v>
          </cell>
          <cell r="I168">
            <v>0</v>
          </cell>
          <cell r="N168" t="str">
            <v>Drawn</v>
          </cell>
          <cell r="Q168" t="str">
            <v>F</v>
          </cell>
          <cell r="R168">
            <v>0</v>
          </cell>
          <cell r="T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C169" t="str">
            <v>T&amp;L</v>
          </cell>
          <cell r="D169" t="str">
            <v>Debt</v>
          </cell>
          <cell r="E169" t="str">
            <v>IRS</v>
          </cell>
          <cell r="H169">
            <v>0</v>
          </cell>
          <cell r="I169">
            <v>0</v>
          </cell>
          <cell r="N169" t="str">
            <v>Drawn</v>
          </cell>
          <cell r="Q169">
            <v>0</v>
          </cell>
          <cell r="R169" t="str">
            <v>V</v>
          </cell>
          <cell r="T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C170" t="str">
            <v>T&amp;L</v>
          </cell>
          <cell r="D170" t="str">
            <v>Debt</v>
          </cell>
          <cell r="E170" t="str">
            <v>IRS</v>
          </cell>
          <cell r="H170">
            <v>0</v>
          </cell>
          <cell r="I170">
            <v>0</v>
          </cell>
          <cell r="N170" t="str">
            <v>Drawn</v>
          </cell>
          <cell r="Q170" t="str">
            <v>F</v>
          </cell>
          <cell r="R170">
            <v>0</v>
          </cell>
          <cell r="T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</row>
        <row r="171">
          <cell r="C171" t="str">
            <v>T&amp;L</v>
          </cell>
          <cell r="D171" t="str">
            <v>Debt</v>
          </cell>
          <cell r="E171" t="str">
            <v>IRS</v>
          </cell>
          <cell r="H171">
            <v>0</v>
          </cell>
          <cell r="I171">
            <v>0</v>
          </cell>
          <cell r="N171" t="str">
            <v>Drawn</v>
          </cell>
          <cell r="Q171">
            <v>0</v>
          </cell>
          <cell r="R171" t="str">
            <v>V</v>
          </cell>
          <cell r="T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</row>
        <row r="172">
          <cell r="C172" t="str">
            <v>T&amp;L</v>
          </cell>
          <cell r="D172" t="str">
            <v>Debt</v>
          </cell>
          <cell r="E172" t="str">
            <v>IRS</v>
          </cell>
          <cell r="H172">
            <v>0</v>
          </cell>
          <cell r="I172">
            <v>0</v>
          </cell>
          <cell r="N172" t="str">
            <v>Drawn</v>
          </cell>
          <cell r="Q172" t="str">
            <v>F</v>
          </cell>
          <cell r="R172">
            <v>0</v>
          </cell>
          <cell r="T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C173" t="str">
            <v>T&amp;L</v>
          </cell>
          <cell r="D173" t="str">
            <v>Debt</v>
          </cell>
          <cell r="E173" t="str">
            <v>IRS</v>
          </cell>
          <cell r="H173">
            <v>0</v>
          </cell>
          <cell r="I173">
            <v>0</v>
          </cell>
          <cell r="N173" t="str">
            <v>Drawn</v>
          </cell>
          <cell r="Q173">
            <v>0</v>
          </cell>
          <cell r="R173" t="str">
            <v>V</v>
          </cell>
          <cell r="T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</row>
        <row r="174">
          <cell r="C174" t="str">
            <v>T&amp;L</v>
          </cell>
          <cell r="D174" t="str">
            <v>Debt</v>
          </cell>
          <cell r="E174" t="str">
            <v>IRS</v>
          </cell>
          <cell r="H174">
            <v>0</v>
          </cell>
          <cell r="I174">
            <v>0</v>
          </cell>
          <cell r="N174" t="str">
            <v>Drawn</v>
          </cell>
          <cell r="Q174" t="str">
            <v>F</v>
          </cell>
          <cell r="R174">
            <v>0</v>
          </cell>
          <cell r="T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</row>
        <row r="175">
          <cell r="C175" t="str">
            <v>T&amp;L</v>
          </cell>
          <cell r="D175" t="str">
            <v>Debt</v>
          </cell>
          <cell r="E175" t="str">
            <v>IRS</v>
          </cell>
          <cell r="H175">
            <v>0</v>
          </cell>
          <cell r="I175">
            <v>0</v>
          </cell>
          <cell r="N175" t="str">
            <v>Drawn</v>
          </cell>
          <cell r="Q175">
            <v>0</v>
          </cell>
          <cell r="R175" t="str">
            <v>V</v>
          </cell>
          <cell r="T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C176" t="str">
            <v>T&amp;L</v>
          </cell>
          <cell r="D176" t="str">
            <v>Debt</v>
          </cell>
          <cell r="E176" t="str">
            <v>IRS</v>
          </cell>
          <cell r="H176">
            <v>0</v>
          </cell>
          <cell r="I176">
            <v>0</v>
          </cell>
          <cell r="N176" t="str">
            <v>Drawn</v>
          </cell>
          <cell r="Q176" t="str">
            <v>F</v>
          </cell>
          <cell r="R176">
            <v>0</v>
          </cell>
          <cell r="T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C177" t="str">
            <v>T&amp;L</v>
          </cell>
          <cell r="D177" t="str">
            <v>Debt</v>
          </cell>
          <cell r="E177" t="str">
            <v>IRS</v>
          </cell>
          <cell r="H177">
            <v>0</v>
          </cell>
          <cell r="I177">
            <v>0</v>
          </cell>
          <cell r="N177" t="str">
            <v>Drawn</v>
          </cell>
          <cell r="Q177">
            <v>0</v>
          </cell>
          <cell r="R177" t="str">
            <v>V</v>
          </cell>
          <cell r="T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C178" t="str">
            <v>T&amp;L</v>
          </cell>
          <cell r="D178" t="str">
            <v>Debt</v>
          </cell>
          <cell r="E178" t="str">
            <v>IRS</v>
          </cell>
          <cell r="H178">
            <v>0</v>
          </cell>
          <cell r="I178">
            <v>0</v>
          </cell>
          <cell r="N178" t="str">
            <v>Drawn</v>
          </cell>
          <cell r="Q178" t="str">
            <v>F</v>
          </cell>
          <cell r="R178">
            <v>0</v>
          </cell>
          <cell r="T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C179" t="str">
            <v>T&amp;L</v>
          </cell>
          <cell r="D179" t="str">
            <v>Debt</v>
          </cell>
          <cell r="E179" t="str">
            <v>IRS</v>
          </cell>
          <cell r="H179">
            <v>0</v>
          </cell>
          <cell r="I179">
            <v>0</v>
          </cell>
          <cell r="N179" t="str">
            <v>Drawn</v>
          </cell>
          <cell r="Q179">
            <v>0</v>
          </cell>
          <cell r="R179" t="str">
            <v>V</v>
          </cell>
          <cell r="T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C180" t="str">
            <v>T&amp;L</v>
          </cell>
          <cell r="D180" t="str">
            <v>Debt</v>
          </cell>
          <cell r="E180" t="str">
            <v>IRS</v>
          </cell>
          <cell r="H180">
            <v>0</v>
          </cell>
          <cell r="I180">
            <v>0</v>
          </cell>
          <cell r="N180" t="str">
            <v>Drawn</v>
          </cell>
          <cell r="Q180" t="str">
            <v>F</v>
          </cell>
          <cell r="R180">
            <v>0</v>
          </cell>
          <cell r="T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C181" t="str">
            <v>T&amp;L</v>
          </cell>
          <cell r="D181" t="str">
            <v>Debt</v>
          </cell>
          <cell r="E181" t="str">
            <v>IRS</v>
          </cell>
          <cell r="H181">
            <v>0</v>
          </cell>
          <cell r="I181">
            <v>0</v>
          </cell>
          <cell r="N181" t="str">
            <v>Drawn</v>
          </cell>
          <cell r="Q181">
            <v>0</v>
          </cell>
          <cell r="R181" t="str">
            <v>V</v>
          </cell>
          <cell r="T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</row>
        <row r="182">
          <cell r="C182" t="str">
            <v>T&amp;L</v>
          </cell>
          <cell r="D182" t="str">
            <v>Debt</v>
          </cell>
          <cell r="E182" t="str">
            <v>IRS</v>
          </cell>
          <cell r="H182">
            <v>0</v>
          </cell>
          <cell r="I182">
            <v>0</v>
          </cell>
          <cell r="N182" t="str">
            <v>Drawn</v>
          </cell>
          <cell r="Q182" t="str">
            <v>F</v>
          </cell>
          <cell r="R182">
            <v>0</v>
          </cell>
          <cell r="T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C183" t="str">
            <v>T&amp;L</v>
          </cell>
          <cell r="D183" t="str">
            <v>Debt</v>
          </cell>
          <cell r="E183" t="str">
            <v>IRS</v>
          </cell>
          <cell r="H183">
            <v>0</v>
          </cell>
          <cell r="I183">
            <v>0</v>
          </cell>
          <cell r="N183" t="str">
            <v>Drawn</v>
          </cell>
          <cell r="Q183">
            <v>0</v>
          </cell>
          <cell r="R183" t="str">
            <v>V</v>
          </cell>
          <cell r="T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</row>
        <row r="184">
          <cell r="C184" t="str">
            <v>T&amp;L</v>
          </cell>
          <cell r="D184" t="str">
            <v>Debt</v>
          </cell>
          <cell r="E184" t="str">
            <v>IRS</v>
          </cell>
          <cell r="H184">
            <v>0</v>
          </cell>
          <cell r="I184">
            <v>0</v>
          </cell>
          <cell r="N184" t="str">
            <v>Drawn</v>
          </cell>
          <cell r="Q184" t="str">
            <v>F</v>
          </cell>
          <cell r="R184">
            <v>0</v>
          </cell>
          <cell r="T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C185" t="str">
            <v>T&amp;L</v>
          </cell>
          <cell r="D185" t="str">
            <v>Debt</v>
          </cell>
          <cell r="E185" t="str">
            <v>IRS</v>
          </cell>
          <cell r="H185">
            <v>0</v>
          </cell>
          <cell r="I185">
            <v>0</v>
          </cell>
          <cell r="N185" t="str">
            <v>Drawn</v>
          </cell>
          <cell r="Q185">
            <v>0</v>
          </cell>
          <cell r="R185" t="str">
            <v>V</v>
          </cell>
          <cell r="T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</row>
        <row r="186">
          <cell r="C186" t="str">
            <v>T&amp;L</v>
          </cell>
          <cell r="D186" t="str">
            <v>Debt</v>
          </cell>
          <cell r="E186" t="str">
            <v>IRS</v>
          </cell>
          <cell r="H186">
            <v>0</v>
          </cell>
          <cell r="I186">
            <v>0</v>
          </cell>
          <cell r="N186" t="str">
            <v>Drawn</v>
          </cell>
          <cell r="Q186" t="str">
            <v>V</v>
          </cell>
          <cell r="R186">
            <v>0</v>
          </cell>
          <cell r="T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C187" t="str">
            <v>T&amp;L</v>
          </cell>
          <cell r="D187" t="str">
            <v>Debt</v>
          </cell>
          <cell r="E187" t="str">
            <v>IRS</v>
          </cell>
          <cell r="H187">
            <v>0</v>
          </cell>
          <cell r="I187">
            <v>0</v>
          </cell>
          <cell r="N187" t="str">
            <v>Drawn</v>
          </cell>
          <cell r="Q187">
            <v>0</v>
          </cell>
          <cell r="R187" t="str">
            <v>F</v>
          </cell>
          <cell r="T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</row>
        <row r="188">
          <cell r="C188" t="str">
            <v>T&amp;L</v>
          </cell>
          <cell r="D188" t="str">
            <v>Debt</v>
          </cell>
          <cell r="E188" t="str">
            <v>IRS</v>
          </cell>
          <cell r="H188">
            <v>0</v>
          </cell>
          <cell r="I188">
            <v>0</v>
          </cell>
          <cell r="N188" t="str">
            <v>Drawn</v>
          </cell>
          <cell r="Q188" t="str">
            <v>F</v>
          </cell>
          <cell r="R188">
            <v>0</v>
          </cell>
          <cell r="T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</row>
        <row r="189">
          <cell r="C189" t="str">
            <v>T&amp;L</v>
          </cell>
          <cell r="D189" t="str">
            <v>Debt</v>
          </cell>
          <cell r="E189" t="str">
            <v>IRS</v>
          </cell>
          <cell r="H189">
            <v>0</v>
          </cell>
          <cell r="I189">
            <v>0</v>
          </cell>
          <cell r="N189" t="str">
            <v>Drawn</v>
          </cell>
          <cell r="Q189">
            <v>0</v>
          </cell>
          <cell r="R189" t="str">
            <v>V</v>
          </cell>
          <cell r="T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</row>
        <row r="190">
          <cell r="C190" t="str">
            <v>T&amp;L</v>
          </cell>
          <cell r="D190" t="str">
            <v>Debt</v>
          </cell>
          <cell r="E190" t="str">
            <v>IRS</v>
          </cell>
          <cell r="H190">
            <v>0</v>
          </cell>
          <cell r="I190">
            <v>0</v>
          </cell>
          <cell r="N190" t="str">
            <v>Drawn</v>
          </cell>
          <cell r="Q190" t="str">
            <v>F</v>
          </cell>
          <cell r="R190">
            <v>0</v>
          </cell>
          <cell r="T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C191" t="str">
            <v>T&amp;L</v>
          </cell>
          <cell r="D191" t="str">
            <v>Debt</v>
          </cell>
          <cell r="E191" t="str">
            <v>IRS</v>
          </cell>
          <cell r="H191">
            <v>0</v>
          </cell>
          <cell r="I191">
            <v>0</v>
          </cell>
          <cell r="N191" t="str">
            <v>Drawn</v>
          </cell>
          <cell r="Q191">
            <v>0</v>
          </cell>
          <cell r="R191" t="str">
            <v>V</v>
          </cell>
          <cell r="T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</row>
        <row r="192">
          <cell r="C192" t="str">
            <v>T&amp;L</v>
          </cell>
          <cell r="D192" t="str">
            <v>Debt</v>
          </cell>
          <cell r="E192" t="str">
            <v>IRS</v>
          </cell>
          <cell r="H192">
            <v>0</v>
          </cell>
          <cell r="I192">
            <v>0</v>
          </cell>
          <cell r="N192" t="str">
            <v>Drawn</v>
          </cell>
          <cell r="Q192" t="str">
            <v>F</v>
          </cell>
          <cell r="R192">
            <v>0</v>
          </cell>
          <cell r="T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C193" t="str">
            <v>T&amp;L</v>
          </cell>
          <cell r="D193" t="str">
            <v>Debt</v>
          </cell>
          <cell r="E193" t="str">
            <v>IRS</v>
          </cell>
          <cell r="H193">
            <v>0</v>
          </cell>
          <cell r="I193">
            <v>0</v>
          </cell>
          <cell r="N193" t="str">
            <v>Drawn</v>
          </cell>
          <cell r="Q193">
            <v>0</v>
          </cell>
          <cell r="R193" t="str">
            <v>V</v>
          </cell>
          <cell r="T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C194" t="str">
            <v>T&amp;L</v>
          </cell>
          <cell r="D194" t="str">
            <v>Debt</v>
          </cell>
          <cell r="E194" t="str">
            <v>IRS</v>
          </cell>
          <cell r="H194">
            <v>0</v>
          </cell>
          <cell r="I194">
            <v>0</v>
          </cell>
          <cell r="N194" t="str">
            <v>Drawn</v>
          </cell>
          <cell r="Q194" t="str">
            <v>F</v>
          </cell>
          <cell r="R194">
            <v>0</v>
          </cell>
          <cell r="T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</row>
        <row r="195">
          <cell r="C195" t="str">
            <v>T&amp;L</v>
          </cell>
          <cell r="D195" t="str">
            <v>Debt</v>
          </cell>
          <cell r="E195" t="str">
            <v>IRS</v>
          </cell>
          <cell r="H195">
            <v>0</v>
          </cell>
          <cell r="I195">
            <v>0</v>
          </cell>
          <cell r="N195" t="str">
            <v>Drawn</v>
          </cell>
          <cell r="Q195">
            <v>0</v>
          </cell>
          <cell r="R195" t="str">
            <v>V</v>
          </cell>
          <cell r="T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</row>
        <row r="196">
          <cell r="C196" t="str">
            <v>T&amp;L</v>
          </cell>
          <cell r="D196" t="str">
            <v>Debt</v>
          </cell>
          <cell r="E196" t="str">
            <v>IRS</v>
          </cell>
          <cell r="H196">
            <v>0</v>
          </cell>
          <cell r="I196">
            <v>0</v>
          </cell>
          <cell r="N196" t="str">
            <v>Drawn</v>
          </cell>
          <cell r="Q196" t="str">
            <v>F</v>
          </cell>
          <cell r="R196">
            <v>0</v>
          </cell>
          <cell r="T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</row>
        <row r="197">
          <cell r="C197" t="str">
            <v>T&amp;L</v>
          </cell>
          <cell r="D197" t="str">
            <v>Debt</v>
          </cell>
          <cell r="E197" t="str">
            <v>IRS</v>
          </cell>
          <cell r="H197">
            <v>0</v>
          </cell>
          <cell r="I197">
            <v>0</v>
          </cell>
          <cell r="N197" t="str">
            <v>Drawn</v>
          </cell>
          <cell r="Q197">
            <v>0</v>
          </cell>
          <cell r="R197" t="str">
            <v>V</v>
          </cell>
          <cell r="T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</row>
        <row r="198">
          <cell r="C198" t="str">
            <v>T&amp;L</v>
          </cell>
          <cell r="D198" t="str">
            <v>Debt</v>
          </cell>
          <cell r="E198" t="str">
            <v>IRS</v>
          </cell>
          <cell r="H198">
            <v>0</v>
          </cell>
          <cell r="I198">
            <v>0</v>
          </cell>
          <cell r="N198" t="str">
            <v>Drawn</v>
          </cell>
          <cell r="Q198" t="str">
            <v>F</v>
          </cell>
          <cell r="R198">
            <v>0</v>
          </cell>
          <cell r="T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</row>
        <row r="199">
          <cell r="C199" t="str">
            <v>T&amp;L</v>
          </cell>
          <cell r="D199" t="str">
            <v>Debt</v>
          </cell>
          <cell r="E199" t="str">
            <v>IRS</v>
          </cell>
          <cell r="H199">
            <v>0</v>
          </cell>
          <cell r="I199">
            <v>0</v>
          </cell>
          <cell r="N199" t="str">
            <v>Drawn</v>
          </cell>
          <cell r="Q199">
            <v>0</v>
          </cell>
          <cell r="R199" t="str">
            <v>V</v>
          </cell>
          <cell r="T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H200">
            <v>0</v>
          </cell>
          <cell r="I200">
            <v>0</v>
          </cell>
          <cell r="N200">
            <v>0</v>
          </cell>
          <cell r="Q200">
            <v>0</v>
          </cell>
          <cell r="R200">
            <v>0</v>
          </cell>
          <cell r="T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H201">
            <v>0</v>
          </cell>
          <cell r="I201">
            <v>0</v>
          </cell>
          <cell r="N201">
            <v>0</v>
          </cell>
          <cell r="Q201">
            <v>0</v>
          </cell>
          <cell r="R201">
            <v>0</v>
          </cell>
          <cell r="T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H202">
            <v>0</v>
          </cell>
          <cell r="I202">
            <v>0</v>
          </cell>
          <cell r="N202">
            <v>0</v>
          </cell>
          <cell r="Q202">
            <v>0</v>
          </cell>
          <cell r="R202">
            <v>0</v>
          </cell>
          <cell r="T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H203">
            <v>0</v>
          </cell>
          <cell r="I203">
            <v>0</v>
          </cell>
          <cell r="N203">
            <v>0</v>
          </cell>
          <cell r="Q203">
            <v>0</v>
          </cell>
          <cell r="R203">
            <v>0</v>
          </cell>
          <cell r="T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H204">
            <v>0</v>
          </cell>
          <cell r="I204">
            <v>0</v>
          </cell>
          <cell r="N204">
            <v>0</v>
          </cell>
          <cell r="Q204">
            <v>0</v>
          </cell>
          <cell r="R204">
            <v>0</v>
          </cell>
          <cell r="T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H205">
            <v>0</v>
          </cell>
          <cell r="I205">
            <v>0</v>
          </cell>
          <cell r="N205">
            <v>0</v>
          </cell>
          <cell r="Q205">
            <v>0</v>
          </cell>
          <cell r="R205">
            <v>0</v>
          </cell>
          <cell r="T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H206">
            <v>0</v>
          </cell>
          <cell r="I206">
            <v>0</v>
          </cell>
          <cell r="N206">
            <v>0</v>
          </cell>
          <cell r="Q206">
            <v>0</v>
          </cell>
          <cell r="R206">
            <v>0</v>
          </cell>
          <cell r="T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H207">
            <v>0</v>
          </cell>
          <cell r="I207">
            <v>0</v>
          </cell>
          <cell r="N207">
            <v>0</v>
          </cell>
          <cell r="Q207">
            <v>0</v>
          </cell>
          <cell r="R207">
            <v>0</v>
          </cell>
          <cell r="T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H208">
            <v>0</v>
          </cell>
          <cell r="I208">
            <v>0</v>
          </cell>
          <cell r="N208">
            <v>0</v>
          </cell>
          <cell r="Q208">
            <v>0</v>
          </cell>
          <cell r="R208">
            <v>0</v>
          </cell>
          <cell r="T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H209">
            <v>0</v>
          </cell>
          <cell r="I209">
            <v>0</v>
          </cell>
          <cell r="N209">
            <v>0</v>
          </cell>
          <cell r="Q209">
            <v>0</v>
          </cell>
          <cell r="R209">
            <v>0</v>
          </cell>
          <cell r="T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H210">
            <v>0</v>
          </cell>
          <cell r="I210">
            <v>0</v>
          </cell>
          <cell r="N210">
            <v>0</v>
          </cell>
          <cell r="Q210">
            <v>0</v>
          </cell>
          <cell r="R210">
            <v>0</v>
          </cell>
          <cell r="T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H211">
            <v>0</v>
          </cell>
          <cell r="I211">
            <v>0</v>
          </cell>
          <cell r="N211">
            <v>0</v>
          </cell>
          <cell r="Q211">
            <v>0</v>
          </cell>
          <cell r="R211">
            <v>0</v>
          </cell>
          <cell r="T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H212">
            <v>0</v>
          </cell>
          <cell r="I212">
            <v>0</v>
          </cell>
          <cell r="N212">
            <v>0</v>
          </cell>
          <cell r="Q212">
            <v>0</v>
          </cell>
          <cell r="R212">
            <v>0</v>
          </cell>
          <cell r="T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H213">
            <v>0</v>
          </cell>
          <cell r="I213">
            <v>0</v>
          </cell>
          <cell r="N213">
            <v>0</v>
          </cell>
          <cell r="Q213">
            <v>0</v>
          </cell>
          <cell r="R213">
            <v>0</v>
          </cell>
          <cell r="T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H214">
            <v>0</v>
          </cell>
          <cell r="I214">
            <v>0</v>
          </cell>
          <cell r="N214">
            <v>0</v>
          </cell>
          <cell r="Q214">
            <v>0</v>
          </cell>
          <cell r="R214">
            <v>0</v>
          </cell>
          <cell r="T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H215">
            <v>0</v>
          </cell>
          <cell r="I215">
            <v>0</v>
          </cell>
          <cell r="N215">
            <v>0</v>
          </cell>
          <cell r="Q215">
            <v>0</v>
          </cell>
          <cell r="R215">
            <v>0</v>
          </cell>
          <cell r="T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H216">
            <v>0</v>
          </cell>
          <cell r="I216">
            <v>0</v>
          </cell>
          <cell r="N216">
            <v>0</v>
          </cell>
          <cell r="Q216">
            <v>0</v>
          </cell>
          <cell r="R216">
            <v>0</v>
          </cell>
          <cell r="T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H217">
            <v>0</v>
          </cell>
          <cell r="I217">
            <v>0</v>
          </cell>
          <cell r="N217">
            <v>0</v>
          </cell>
          <cell r="Q217">
            <v>0</v>
          </cell>
          <cell r="R217">
            <v>0</v>
          </cell>
          <cell r="T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H218">
            <v>0</v>
          </cell>
          <cell r="I218">
            <v>0</v>
          </cell>
          <cell r="N218">
            <v>0</v>
          </cell>
          <cell r="Q218">
            <v>0</v>
          </cell>
          <cell r="R218">
            <v>0</v>
          </cell>
          <cell r="T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H219">
            <v>0</v>
          </cell>
          <cell r="I219">
            <v>0</v>
          </cell>
          <cell r="N219">
            <v>0</v>
          </cell>
          <cell r="Q219">
            <v>0</v>
          </cell>
          <cell r="R219">
            <v>0</v>
          </cell>
          <cell r="T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H220">
            <v>0</v>
          </cell>
          <cell r="I220">
            <v>0</v>
          </cell>
          <cell r="N220">
            <v>0</v>
          </cell>
          <cell r="Q220">
            <v>0</v>
          </cell>
          <cell r="R220">
            <v>0</v>
          </cell>
          <cell r="T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H221">
            <v>0</v>
          </cell>
          <cell r="I221">
            <v>0</v>
          </cell>
          <cell r="N221">
            <v>0</v>
          </cell>
          <cell r="Q221">
            <v>0</v>
          </cell>
          <cell r="R221">
            <v>0</v>
          </cell>
          <cell r="T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H222">
            <v>0</v>
          </cell>
          <cell r="I222">
            <v>0</v>
          </cell>
          <cell r="N222">
            <v>0</v>
          </cell>
          <cell r="Q222">
            <v>0</v>
          </cell>
          <cell r="R222">
            <v>0</v>
          </cell>
          <cell r="T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H223">
            <v>0</v>
          </cell>
          <cell r="I223">
            <v>0</v>
          </cell>
          <cell r="N223">
            <v>0</v>
          </cell>
          <cell r="Q223">
            <v>0</v>
          </cell>
          <cell r="R223">
            <v>0</v>
          </cell>
          <cell r="T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H224">
            <v>0</v>
          </cell>
          <cell r="I224">
            <v>0</v>
          </cell>
          <cell r="N224">
            <v>0</v>
          </cell>
          <cell r="Q224">
            <v>0</v>
          </cell>
          <cell r="R224">
            <v>0</v>
          </cell>
          <cell r="T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H225">
            <v>0</v>
          </cell>
          <cell r="I225">
            <v>0</v>
          </cell>
          <cell r="N225">
            <v>0</v>
          </cell>
          <cell r="Q225">
            <v>0</v>
          </cell>
          <cell r="R225">
            <v>0</v>
          </cell>
          <cell r="T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H226">
            <v>0</v>
          </cell>
          <cell r="I226">
            <v>0</v>
          </cell>
          <cell r="N226">
            <v>0</v>
          </cell>
          <cell r="Q226">
            <v>0</v>
          </cell>
          <cell r="R226">
            <v>0</v>
          </cell>
          <cell r="T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H227">
            <v>0</v>
          </cell>
          <cell r="I227">
            <v>0</v>
          </cell>
          <cell r="N227">
            <v>0</v>
          </cell>
          <cell r="Q227">
            <v>0</v>
          </cell>
          <cell r="R227">
            <v>0</v>
          </cell>
          <cell r="T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H228">
            <v>0</v>
          </cell>
          <cell r="I228">
            <v>0</v>
          </cell>
          <cell r="N228">
            <v>0</v>
          </cell>
          <cell r="Q228">
            <v>0</v>
          </cell>
          <cell r="R228">
            <v>0</v>
          </cell>
          <cell r="T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H229">
            <v>0</v>
          </cell>
          <cell r="I229">
            <v>0</v>
          </cell>
          <cell r="N229">
            <v>0</v>
          </cell>
          <cell r="Q229">
            <v>0</v>
          </cell>
          <cell r="R229">
            <v>0</v>
          </cell>
          <cell r="T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H230">
            <v>0</v>
          </cell>
          <cell r="I230">
            <v>0</v>
          </cell>
          <cell r="N230">
            <v>0</v>
          </cell>
          <cell r="Q230">
            <v>0</v>
          </cell>
          <cell r="R230">
            <v>0</v>
          </cell>
          <cell r="T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H231">
            <v>0</v>
          </cell>
          <cell r="I231">
            <v>0</v>
          </cell>
          <cell r="N231">
            <v>0</v>
          </cell>
          <cell r="Q231">
            <v>0</v>
          </cell>
          <cell r="R231">
            <v>0</v>
          </cell>
          <cell r="T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H232">
            <v>0</v>
          </cell>
          <cell r="I232">
            <v>0</v>
          </cell>
          <cell r="N232">
            <v>0</v>
          </cell>
          <cell r="Q232">
            <v>0</v>
          </cell>
          <cell r="R232">
            <v>0</v>
          </cell>
          <cell r="T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H233">
            <v>0</v>
          </cell>
          <cell r="I233">
            <v>0</v>
          </cell>
          <cell r="N233">
            <v>0</v>
          </cell>
          <cell r="Q233">
            <v>0</v>
          </cell>
          <cell r="R233">
            <v>0</v>
          </cell>
          <cell r="T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H234">
            <v>0</v>
          </cell>
          <cell r="I234">
            <v>0</v>
          </cell>
          <cell r="N234">
            <v>0</v>
          </cell>
          <cell r="Q234">
            <v>0</v>
          </cell>
          <cell r="R234">
            <v>0</v>
          </cell>
          <cell r="T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H235">
            <v>0</v>
          </cell>
          <cell r="I235">
            <v>0</v>
          </cell>
          <cell r="N235">
            <v>0</v>
          </cell>
          <cell r="Q235">
            <v>0</v>
          </cell>
          <cell r="R235">
            <v>0</v>
          </cell>
          <cell r="T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H236">
            <v>0</v>
          </cell>
          <cell r="I236">
            <v>0</v>
          </cell>
          <cell r="N236">
            <v>0</v>
          </cell>
          <cell r="Q236">
            <v>0</v>
          </cell>
          <cell r="R236">
            <v>0</v>
          </cell>
          <cell r="T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H237">
            <v>0</v>
          </cell>
          <cell r="I237">
            <v>0</v>
          </cell>
          <cell r="N237">
            <v>0</v>
          </cell>
          <cell r="Q237">
            <v>0</v>
          </cell>
          <cell r="R237">
            <v>0</v>
          </cell>
          <cell r="T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H238">
            <v>0</v>
          </cell>
          <cell r="I238">
            <v>0</v>
          </cell>
          <cell r="N238">
            <v>0</v>
          </cell>
          <cell r="Q238">
            <v>0</v>
          </cell>
          <cell r="R238">
            <v>0</v>
          </cell>
          <cell r="T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H239">
            <v>0</v>
          </cell>
          <cell r="I239">
            <v>0</v>
          </cell>
          <cell r="N239">
            <v>0</v>
          </cell>
          <cell r="Q239">
            <v>0</v>
          </cell>
          <cell r="R239">
            <v>0</v>
          </cell>
          <cell r="T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H240">
            <v>0</v>
          </cell>
          <cell r="I240">
            <v>0</v>
          </cell>
          <cell r="N240">
            <v>0</v>
          </cell>
          <cell r="Q240">
            <v>0</v>
          </cell>
          <cell r="R240">
            <v>0</v>
          </cell>
          <cell r="T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H241">
            <v>0</v>
          </cell>
          <cell r="I241">
            <v>0</v>
          </cell>
          <cell r="N241">
            <v>0</v>
          </cell>
          <cell r="Q241">
            <v>0</v>
          </cell>
          <cell r="R241">
            <v>0</v>
          </cell>
          <cell r="T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H242">
            <v>0</v>
          </cell>
          <cell r="I242">
            <v>0</v>
          </cell>
          <cell r="N242">
            <v>0</v>
          </cell>
          <cell r="Q242">
            <v>0</v>
          </cell>
          <cell r="R242">
            <v>0</v>
          </cell>
          <cell r="T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H243">
            <v>0</v>
          </cell>
          <cell r="I243">
            <v>0</v>
          </cell>
          <cell r="N243">
            <v>0</v>
          </cell>
          <cell r="Q243">
            <v>0</v>
          </cell>
          <cell r="R243">
            <v>0</v>
          </cell>
          <cell r="T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H244">
            <v>0</v>
          </cell>
          <cell r="I244">
            <v>0</v>
          </cell>
          <cell r="N244">
            <v>0</v>
          </cell>
          <cell r="Q244">
            <v>0</v>
          </cell>
          <cell r="R244">
            <v>0</v>
          </cell>
          <cell r="T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H245">
            <v>0</v>
          </cell>
          <cell r="I245">
            <v>0</v>
          </cell>
          <cell r="N245">
            <v>0</v>
          </cell>
          <cell r="Q245">
            <v>0</v>
          </cell>
          <cell r="R245">
            <v>0</v>
          </cell>
          <cell r="T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H246">
            <v>0</v>
          </cell>
          <cell r="I246">
            <v>0</v>
          </cell>
          <cell r="N246">
            <v>0</v>
          </cell>
          <cell r="Q246">
            <v>0</v>
          </cell>
          <cell r="R246">
            <v>0</v>
          </cell>
          <cell r="T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H247">
            <v>0</v>
          </cell>
          <cell r="I247">
            <v>0</v>
          </cell>
          <cell r="N247">
            <v>0</v>
          </cell>
          <cell r="Q247">
            <v>0</v>
          </cell>
          <cell r="R247">
            <v>0</v>
          </cell>
          <cell r="T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H248">
            <v>0</v>
          </cell>
          <cell r="I248">
            <v>0</v>
          </cell>
          <cell r="N248">
            <v>0</v>
          </cell>
          <cell r="Q248">
            <v>0</v>
          </cell>
          <cell r="R248">
            <v>0</v>
          </cell>
          <cell r="T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H249">
            <v>0</v>
          </cell>
          <cell r="I249">
            <v>0</v>
          </cell>
          <cell r="N249">
            <v>0</v>
          </cell>
          <cell r="Q249">
            <v>0</v>
          </cell>
          <cell r="R249">
            <v>0</v>
          </cell>
          <cell r="T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H250">
            <v>0</v>
          </cell>
          <cell r="I250">
            <v>0</v>
          </cell>
          <cell r="N250">
            <v>0</v>
          </cell>
          <cell r="Q250">
            <v>0</v>
          </cell>
          <cell r="R250">
            <v>0</v>
          </cell>
          <cell r="T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H251">
            <v>0</v>
          </cell>
          <cell r="I251">
            <v>0</v>
          </cell>
          <cell r="N251">
            <v>0</v>
          </cell>
          <cell r="Q251">
            <v>0</v>
          </cell>
          <cell r="R251">
            <v>0</v>
          </cell>
          <cell r="T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H252">
            <v>0</v>
          </cell>
          <cell r="I252">
            <v>0</v>
          </cell>
          <cell r="N252">
            <v>0</v>
          </cell>
          <cell r="Q252">
            <v>0</v>
          </cell>
          <cell r="R252">
            <v>0</v>
          </cell>
          <cell r="T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H253">
            <v>0</v>
          </cell>
          <cell r="I253">
            <v>0</v>
          </cell>
          <cell r="N253">
            <v>0</v>
          </cell>
          <cell r="Q253">
            <v>0</v>
          </cell>
          <cell r="R253">
            <v>0</v>
          </cell>
          <cell r="T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  <cell r="H254">
            <v>0</v>
          </cell>
          <cell r="I254">
            <v>0</v>
          </cell>
          <cell r="N254">
            <v>0</v>
          </cell>
          <cell r="Q254">
            <v>0</v>
          </cell>
          <cell r="R254">
            <v>0</v>
          </cell>
          <cell r="T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H255">
            <v>0</v>
          </cell>
          <cell r="I255">
            <v>0</v>
          </cell>
          <cell r="N255">
            <v>0</v>
          </cell>
          <cell r="Q255">
            <v>0</v>
          </cell>
          <cell r="R255">
            <v>0</v>
          </cell>
          <cell r="T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H256">
            <v>0</v>
          </cell>
          <cell r="I256">
            <v>0</v>
          </cell>
          <cell r="N256">
            <v>0</v>
          </cell>
          <cell r="Q256">
            <v>0</v>
          </cell>
          <cell r="R256">
            <v>0</v>
          </cell>
          <cell r="T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H257">
            <v>0</v>
          </cell>
          <cell r="I257">
            <v>0</v>
          </cell>
          <cell r="N257">
            <v>0</v>
          </cell>
          <cell r="Q257">
            <v>0</v>
          </cell>
          <cell r="R257">
            <v>0</v>
          </cell>
          <cell r="T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H258">
            <v>0</v>
          </cell>
          <cell r="I258">
            <v>0</v>
          </cell>
          <cell r="N258">
            <v>0</v>
          </cell>
          <cell r="Q258">
            <v>0</v>
          </cell>
          <cell r="R258">
            <v>0</v>
          </cell>
          <cell r="T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H259">
            <v>0</v>
          </cell>
          <cell r="I259">
            <v>0</v>
          </cell>
          <cell r="N259">
            <v>0</v>
          </cell>
          <cell r="Q259">
            <v>0</v>
          </cell>
          <cell r="R259">
            <v>0</v>
          </cell>
          <cell r="T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  <cell r="H260">
            <v>0</v>
          </cell>
          <cell r="I260">
            <v>0</v>
          </cell>
          <cell r="N260">
            <v>0</v>
          </cell>
          <cell r="Q260">
            <v>0</v>
          </cell>
          <cell r="R260">
            <v>0</v>
          </cell>
          <cell r="T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  <cell r="H261">
            <v>0</v>
          </cell>
          <cell r="I261">
            <v>0</v>
          </cell>
          <cell r="N261">
            <v>0</v>
          </cell>
          <cell r="Q261">
            <v>0</v>
          </cell>
          <cell r="R261">
            <v>0</v>
          </cell>
          <cell r="T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  <cell r="H262">
            <v>0</v>
          </cell>
          <cell r="I262">
            <v>0</v>
          </cell>
          <cell r="N262">
            <v>0</v>
          </cell>
          <cell r="Q262">
            <v>0</v>
          </cell>
          <cell r="R262">
            <v>0</v>
          </cell>
          <cell r="T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H263">
            <v>0</v>
          </cell>
          <cell r="I263">
            <v>0</v>
          </cell>
          <cell r="N263">
            <v>0</v>
          </cell>
          <cell r="Q263">
            <v>0</v>
          </cell>
          <cell r="R263">
            <v>0</v>
          </cell>
          <cell r="T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H264">
            <v>0</v>
          </cell>
          <cell r="I264">
            <v>0</v>
          </cell>
          <cell r="N264">
            <v>0</v>
          </cell>
          <cell r="Q264">
            <v>0</v>
          </cell>
          <cell r="R264">
            <v>0</v>
          </cell>
          <cell r="T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H265">
            <v>0</v>
          </cell>
          <cell r="I265">
            <v>0</v>
          </cell>
          <cell r="N265">
            <v>0</v>
          </cell>
          <cell r="Q265">
            <v>0</v>
          </cell>
          <cell r="R265">
            <v>0</v>
          </cell>
          <cell r="T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H266">
            <v>0</v>
          </cell>
          <cell r="I266">
            <v>0</v>
          </cell>
          <cell r="N266">
            <v>0</v>
          </cell>
          <cell r="Q266">
            <v>0</v>
          </cell>
          <cell r="R266">
            <v>0</v>
          </cell>
          <cell r="T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H267">
            <v>0</v>
          </cell>
          <cell r="I267">
            <v>0</v>
          </cell>
          <cell r="N267">
            <v>0</v>
          </cell>
          <cell r="Q267">
            <v>0</v>
          </cell>
          <cell r="R267">
            <v>0</v>
          </cell>
          <cell r="T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H268">
            <v>0</v>
          </cell>
          <cell r="I268">
            <v>0</v>
          </cell>
          <cell r="N268">
            <v>0</v>
          </cell>
          <cell r="Q268">
            <v>0</v>
          </cell>
          <cell r="R268">
            <v>0</v>
          </cell>
          <cell r="T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H269">
            <v>0</v>
          </cell>
          <cell r="I269">
            <v>0</v>
          </cell>
          <cell r="N269">
            <v>0</v>
          </cell>
          <cell r="Q269">
            <v>0</v>
          </cell>
          <cell r="R269">
            <v>0</v>
          </cell>
          <cell r="T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irachy"/>
      <sheetName val="FX rates"/>
      <sheetName val="Sheet4"/>
      <sheetName val="Sheet1"/>
    </sheetNames>
    <sheetDataSet>
      <sheetData sheetId="0"/>
      <sheetData sheetId="1">
        <row r="1">
          <cell r="B1" t="str">
            <v>AOP 09</v>
          </cell>
        </row>
        <row r="2">
          <cell r="A2" t="str">
            <v>GBP</v>
          </cell>
          <cell r="B2">
            <v>1</v>
          </cell>
        </row>
        <row r="3">
          <cell r="A3" t="str">
            <v>USD</v>
          </cell>
          <cell r="B3">
            <v>1.96</v>
          </cell>
        </row>
        <row r="4">
          <cell r="A4" t="str">
            <v>AUD</v>
          </cell>
          <cell r="B4">
            <v>2.2266263576307241</v>
          </cell>
        </row>
        <row r="5">
          <cell r="A5" t="str">
            <v>CAD</v>
          </cell>
          <cell r="B5">
            <v>1.99734984</v>
          </cell>
        </row>
        <row r="6">
          <cell r="A6" t="str">
            <v>EUR</v>
          </cell>
          <cell r="B6">
            <v>1.35</v>
          </cell>
        </row>
        <row r="7">
          <cell r="A7" t="str">
            <v>BGL</v>
          </cell>
          <cell r="B7">
            <v>2.6181907600000001</v>
          </cell>
        </row>
        <row r="8">
          <cell r="A8" t="str">
            <v>CZK</v>
          </cell>
          <cell r="B8">
            <v>34.880043999999998</v>
          </cell>
        </row>
        <row r="9">
          <cell r="A9" t="str">
            <v>DKK</v>
          </cell>
          <cell r="B9">
            <v>9.9789936599999987</v>
          </cell>
        </row>
        <row r="10">
          <cell r="A10" t="str">
            <v>HUF</v>
          </cell>
          <cell r="B10">
            <v>346.71240999999992</v>
          </cell>
        </row>
        <row r="11">
          <cell r="A11" t="str">
            <v>NKK</v>
          </cell>
          <cell r="B11">
            <v>10.778211999999998</v>
          </cell>
        </row>
        <row r="12">
          <cell r="A12" t="str">
            <v>PLN</v>
          </cell>
          <cell r="B12">
            <v>4.8382637999999991</v>
          </cell>
        </row>
        <row r="13">
          <cell r="A13" t="str">
            <v>ROL</v>
          </cell>
          <cell r="B13">
            <v>49808.464200000002</v>
          </cell>
        </row>
        <row r="14">
          <cell r="A14" t="str">
            <v>SKK</v>
          </cell>
          <cell r="B14">
            <v>44.982132</v>
          </cell>
        </row>
        <row r="15">
          <cell r="A15" t="str">
            <v>SEK</v>
          </cell>
          <cell r="B15">
            <v>12.680506759999998</v>
          </cell>
        </row>
        <row r="16">
          <cell r="A16" t="str">
            <v>CHF</v>
          </cell>
          <cell r="B16">
            <v>2.1488811600000002</v>
          </cell>
        </row>
        <row r="17">
          <cell r="A17" t="str">
            <v>TRL</v>
          </cell>
          <cell r="B17">
            <v>2.3326278</v>
          </cell>
        </row>
        <row r="18">
          <cell r="A18" t="str">
            <v>ARP</v>
          </cell>
        </row>
        <row r="19">
          <cell r="A19" t="str">
            <v>BBD</v>
          </cell>
          <cell r="B19">
            <v>3.9573139999999993</v>
          </cell>
        </row>
        <row r="20">
          <cell r="A20" t="str">
            <v>BZD</v>
          </cell>
          <cell r="B20">
            <v>3.897656</v>
          </cell>
        </row>
        <row r="21">
          <cell r="A21" t="str">
            <v>BRL</v>
          </cell>
          <cell r="B21">
            <v>3.5142539199999998</v>
          </cell>
        </row>
        <row r="22">
          <cell r="A22" t="str">
            <v>CLP</v>
          </cell>
          <cell r="B22">
            <v>924.40071</v>
          </cell>
        </row>
        <row r="23">
          <cell r="A23" t="str">
            <v>CNY</v>
          </cell>
          <cell r="B23">
            <v>14.281727479999997</v>
          </cell>
        </row>
        <row r="24">
          <cell r="A24" t="str">
            <v>COP</v>
          </cell>
          <cell r="B24">
            <v>3852.31592</v>
          </cell>
        </row>
        <row r="25">
          <cell r="A25" t="str">
            <v>GYD</v>
          </cell>
          <cell r="B25">
            <v>401.18016399999999</v>
          </cell>
        </row>
        <row r="26">
          <cell r="A26" t="str">
            <v>HKD</v>
          </cell>
          <cell r="B26">
            <v>15.505710779999999</v>
          </cell>
        </row>
        <row r="27">
          <cell r="A27" t="str">
            <v>INR</v>
          </cell>
          <cell r="B27">
            <v>78.191751999999994</v>
          </cell>
        </row>
        <row r="28">
          <cell r="A28" t="str">
            <v>ILS</v>
          </cell>
          <cell r="B28">
            <v>7.1748687999999996</v>
          </cell>
        </row>
        <row r="29">
          <cell r="A29" t="str">
            <v>JPY</v>
          </cell>
          <cell r="B29">
            <v>211.07000399999998</v>
          </cell>
        </row>
        <row r="30">
          <cell r="A30" t="str">
            <v>KRW</v>
          </cell>
          <cell r="B30">
            <v>1876.6418200000001</v>
          </cell>
        </row>
        <row r="31">
          <cell r="A31" t="str">
            <v>MUR</v>
          </cell>
          <cell r="B31">
            <v>55.084219999999995</v>
          </cell>
        </row>
        <row r="32">
          <cell r="A32" t="str">
            <v>MXP</v>
          </cell>
          <cell r="B32">
            <v>21.537532300000002</v>
          </cell>
        </row>
        <row r="33">
          <cell r="A33" t="str">
            <v>MAD</v>
          </cell>
          <cell r="B33">
            <v>15.204239019999997</v>
          </cell>
        </row>
        <row r="34">
          <cell r="A34" t="str">
            <v>MZM</v>
          </cell>
          <cell r="B34">
            <v>50797.017145999998</v>
          </cell>
        </row>
        <row r="35">
          <cell r="A35" t="str">
            <v>NZD</v>
          </cell>
          <cell r="B35">
            <v>2.5300254452926207</v>
          </cell>
        </row>
        <row r="36">
          <cell r="A36" t="str">
            <v>PHP</v>
          </cell>
          <cell r="B36">
            <v>80.498527999999993</v>
          </cell>
        </row>
        <row r="37">
          <cell r="A37" t="str">
            <v>SAR</v>
          </cell>
          <cell r="B37">
            <v>7.4528750799999992</v>
          </cell>
        </row>
        <row r="38">
          <cell r="A38" t="str">
            <v>SGD</v>
          </cell>
          <cell r="B38">
            <v>2.8188404999999999</v>
          </cell>
        </row>
        <row r="39">
          <cell r="A39" t="str">
            <v>ZAR</v>
          </cell>
          <cell r="B39">
            <v>14.842910400000001</v>
          </cell>
        </row>
        <row r="40">
          <cell r="A40" t="str">
            <v>SDP</v>
          </cell>
          <cell r="B40">
            <v>3977.5977199999998</v>
          </cell>
        </row>
        <row r="41">
          <cell r="A41" t="str">
            <v>THB</v>
          </cell>
          <cell r="B41">
            <v>61.447739999999996</v>
          </cell>
        </row>
        <row r="42">
          <cell r="A42" t="str">
            <v>TTD</v>
          </cell>
          <cell r="B42">
            <v>12.448635999999999</v>
          </cell>
        </row>
        <row r="43">
          <cell r="A43" t="str">
            <v>VND</v>
          </cell>
          <cell r="B43">
            <v>31753.964800000002</v>
          </cell>
        </row>
        <row r="44">
          <cell r="A44" t="str">
            <v>RONL</v>
          </cell>
          <cell r="B44">
            <v>4.9808464200000007</v>
          </cell>
        </row>
      </sheetData>
      <sheetData sheetId="2">
        <row r="4">
          <cell r="B4" t="str">
            <v>Data</v>
          </cell>
        </row>
        <row r="5">
          <cell r="A5" t="str">
            <v>Unit</v>
          </cell>
          <cell r="B5" t="str">
            <v>Sum of GC value</v>
          </cell>
          <cell r="C5" t="str">
            <v>Sum of LC value</v>
          </cell>
        </row>
        <row r="6">
          <cell r="A6" t="str">
            <v>ABU</v>
          </cell>
          <cell r="B6">
            <v>-5948223.2100000009</v>
          </cell>
          <cell r="C6">
            <v>-14638400</v>
          </cell>
        </row>
        <row r="7">
          <cell r="A7" t="str">
            <v>AHE</v>
          </cell>
          <cell r="B7">
            <v>-22996.49</v>
          </cell>
          <cell r="C7">
            <v>-29000</v>
          </cell>
        </row>
        <row r="8">
          <cell r="A8" t="str">
            <v>ALC</v>
          </cell>
          <cell r="B8">
            <v>-2617564.29</v>
          </cell>
          <cell r="C8">
            <v>-3299300</v>
          </cell>
        </row>
        <row r="9">
          <cell r="A9" t="str">
            <v>ALM</v>
          </cell>
          <cell r="B9">
            <v>-5958255.9400000004</v>
          </cell>
          <cell r="C9">
            <v>-113471550</v>
          </cell>
        </row>
        <row r="10">
          <cell r="A10" t="str">
            <v>AMA</v>
          </cell>
          <cell r="B10">
            <v>-657306.81000000006</v>
          </cell>
          <cell r="C10">
            <v>-9394900</v>
          </cell>
        </row>
        <row r="11">
          <cell r="A11" t="str">
            <v>ANE</v>
          </cell>
          <cell r="B11">
            <v>-7314312.54</v>
          </cell>
          <cell r="C11">
            <v>-9218554</v>
          </cell>
        </row>
        <row r="12">
          <cell r="A12" t="str">
            <v>ANI_TL</v>
          </cell>
          <cell r="B12">
            <v>-2082238.05</v>
          </cell>
          <cell r="C12">
            <v>-4702400</v>
          </cell>
        </row>
        <row r="13">
          <cell r="A13" t="str">
            <v>ARO_NL</v>
          </cell>
          <cell r="B13">
            <v>-81447.39</v>
          </cell>
          <cell r="C13">
            <v>-364476.15</v>
          </cell>
        </row>
        <row r="14">
          <cell r="A14" t="str">
            <v>ASL</v>
          </cell>
          <cell r="B14">
            <v>-6018768.4300000006</v>
          </cell>
          <cell r="C14">
            <v>-230675250</v>
          </cell>
        </row>
        <row r="15">
          <cell r="A15" t="str">
            <v>CBS</v>
          </cell>
          <cell r="B15">
            <v>138.37</v>
          </cell>
          <cell r="C15">
            <v>0</v>
          </cell>
        </row>
        <row r="16">
          <cell r="A16" t="str">
            <v>CCI</v>
          </cell>
          <cell r="B16">
            <v>-5397986.7800000003</v>
          </cell>
          <cell r="C16">
            <v>-10082000</v>
          </cell>
        </row>
        <row r="17">
          <cell r="A17" t="str">
            <v>CCM</v>
          </cell>
          <cell r="B17">
            <v>-32431.29</v>
          </cell>
          <cell r="C17">
            <v>-613600</v>
          </cell>
        </row>
        <row r="18">
          <cell r="A18" t="str">
            <v>CIT</v>
          </cell>
          <cell r="B18">
            <v>-952555.71</v>
          </cell>
          <cell r="C18">
            <v>-1200400</v>
          </cell>
        </row>
        <row r="19">
          <cell r="A19" t="str">
            <v>DOL</v>
          </cell>
          <cell r="B19">
            <v>-105269.14</v>
          </cell>
          <cell r="C19">
            <v>-1562800</v>
          </cell>
        </row>
        <row r="20">
          <cell r="A20" t="str">
            <v>DUP</v>
          </cell>
          <cell r="B20">
            <v>-523433.75</v>
          </cell>
          <cell r="C20">
            <v>-980950</v>
          </cell>
        </row>
        <row r="21">
          <cell r="A21" t="str">
            <v>FRM</v>
          </cell>
          <cell r="B21">
            <v>-149414.19</v>
          </cell>
          <cell r="C21">
            <v>-188400</v>
          </cell>
        </row>
        <row r="22">
          <cell r="A22" t="str">
            <v>GGP</v>
          </cell>
          <cell r="B22">
            <v>-741839.17</v>
          </cell>
          <cell r="C22">
            <v>-9582500</v>
          </cell>
        </row>
        <row r="23">
          <cell r="A23" t="str">
            <v>HUN</v>
          </cell>
          <cell r="B23">
            <v>-2135192.52</v>
          </cell>
          <cell r="C23">
            <v>-650950500</v>
          </cell>
        </row>
        <row r="24">
          <cell r="A24" t="str">
            <v>HUS</v>
          </cell>
          <cell r="B24">
            <v>-4724062.2</v>
          </cell>
          <cell r="C24">
            <v>-8814000</v>
          </cell>
        </row>
        <row r="25">
          <cell r="A25" t="str">
            <v>ISR</v>
          </cell>
          <cell r="B25">
            <v>-12678.84</v>
          </cell>
          <cell r="C25">
            <v>-24000</v>
          </cell>
        </row>
        <row r="26">
          <cell r="A26" t="str">
            <v>MER</v>
          </cell>
          <cell r="B26">
            <v>-87263.02</v>
          </cell>
          <cell r="C26">
            <v>-265000</v>
          </cell>
        </row>
        <row r="27">
          <cell r="A27" t="str">
            <v>NAT</v>
          </cell>
          <cell r="B27">
            <v>-649931.68000000005</v>
          </cell>
          <cell r="C27">
            <v>-1220000</v>
          </cell>
        </row>
        <row r="28">
          <cell r="A28" t="str">
            <v>PLC</v>
          </cell>
          <cell r="B28">
            <v>-220200</v>
          </cell>
          <cell r="C28">
            <v>-220200</v>
          </cell>
        </row>
        <row r="29">
          <cell r="A29" t="str">
            <v>PRO</v>
          </cell>
          <cell r="B29">
            <v>-99000</v>
          </cell>
          <cell r="C29">
            <v>-99000</v>
          </cell>
        </row>
        <row r="30">
          <cell r="A30" t="str">
            <v>SBE</v>
          </cell>
          <cell r="B30">
            <v>0</v>
          </cell>
          <cell r="C30">
            <v>0</v>
          </cell>
        </row>
        <row r="31">
          <cell r="A31" t="str">
            <v>SIG</v>
          </cell>
          <cell r="B31">
            <v>-1308554.71</v>
          </cell>
          <cell r="C31">
            <v>-2474100</v>
          </cell>
        </row>
        <row r="32">
          <cell r="A32" t="str">
            <v>SLE</v>
          </cell>
          <cell r="B32">
            <v>-633607.13</v>
          </cell>
          <cell r="C32">
            <v>-1177300</v>
          </cell>
        </row>
        <row r="33">
          <cell r="A33" t="str">
            <v>STA</v>
          </cell>
          <cell r="B33">
            <v>-135738068.64999998</v>
          </cell>
          <cell r="C33">
            <v>-258143000</v>
          </cell>
        </row>
        <row r="34">
          <cell r="A34" t="str">
            <v>SUC</v>
          </cell>
          <cell r="B34">
            <v>-443721.9</v>
          </cell>
          <cell r="C34">
            <v>-1535467550</v>
          </cell>
        </row>
        <row r="35">
          <cell r="A35" t="str">
            <v>TAM</v>
          </cell>
          <cell r="B35">
            <v>-3167.24</v>
          </cell>
          <cell r="C35">
            <v>-4000</v>
          </cell>
        </row>
        <row r="36">
          <cell r="A36" t="str">
            <v>TCU</v>
          </cell>
          <cell r="B36">
            <v>-891007.3</v>
          </cell>
          <cell r="C36">
            <v>-1687900</v>
          </cell>
        </row>
        <row r="37">
          <cell r="A37" t="str">
            <v>TLG</v>
          </cell>
          <cell r="B37">
            <v>-192710.28</v>
          </cell>
          <cell r="C37">
            <v>-378500</v>
          </cell>
        </row>
        <row r="38">
          <cell r="A38" t="str">
            <v>TLS</v>
          </cell>
          <cell r="B38">
            <v>-21556700</v>
          </cell>
          <cell r="C38">
            <v>-21556700</v>
          </cell>
        </row>
        <row r="39">
          <cell r="A39" t="str">
            <v>UNS</v>
          </cell>
          <cell r="B39">
            <v>-1000200</v>
          </cell>
          <cell r="C39">
            <v>-1000200</v>
          </cell>
        </row>
        <row r="40">
          <cell r="A40" t="str">
            <v>(blank)</v>
          </cell>
        </row>
        <row r="41">
          <cell r="A41" t="str">
            <v>ANZ</v>
          </cell>
          <cell r="B41">
            <v>-19737.939999999999</v>
          </cell>
          <cell r="C41">
            <v>-42500</v>
          </cell>
        </row>
        <row r="42">
          <cell r="A42" t="str">
            <v>FIE</v>
          </cell>
          <cell r="B42">
            <v>-1730.35</v>
          </cell>
          <cell r="C42">
            <v>0</v>
          </cell>
        </row>
        <row r="43">
          <cell r="A43" t="str">
            <v>GCH</v>
          </cell>
          <cell r="B43">
            <v>-4628662.0199999996</v>
          </cell>
          <cell r="C43">
            <v>-5831700</v>
          </cell>
        </row>
        <row r="44">
          <cell r="A44" t="str">
            <v>PRE</v>
          </cell>
          <cell r="B44">
            <v>-94444.46</v>
          </cell>
          <cell r="C44">
            <v>-119000</v>
          </cell>
        </row>
        <row r="45">
          <cell r="A45" t="str">
            <v>SHG</v>
          </cell>
          <cell r="B45">
            <v>26624.14</v>
          </cell>
          <cell r="C45">
            <v>324400</v>
          </cell>
        </row>
        <row r="46">
          <cell r="A46" t="str">
            <v>MEX</v>
          </cell>
          <cell r="B46">
            <v>850.04</v>
          </cell>
          <cell r="C46">
            <v>17700</v>
          </cell>
        </row>
        <row r="47">
          <cell r="A47" t="str">
            <v>TII</v>
          </cell>
          <cell r="B47">
            <v>-2483.69</v>
          </cell>
          <cell r="C47">
            <v>-155500</v>
          </cell>
        </row>
        <row r="48">
          <cell r="A48" t="str">
            <v>DOM</v>
          </cell>
          <cell r="B48">
            <v>0</v>
          </cell>
          <cell r="C48">
            <v>0</v>
          </cell>
        </row>
        <row r="49">
          <cell r="A49" t="str">
            <v>MOH</v>
          </cell>
          <cell r="B49">
            <v>0</v>
          </cell>
          <cell r="C49">
            <v>0</v>
          </cell>
        </row>
        <row r="50">
          <cell r="A50" t="str">
            <v>TLI</v>
          </cell>
          <cell r="B50">
            <v>0</v>
          </cell>
          <cell r="C50">
            <v>0</v>
          </cell>
        </row>
        <row r="51">
          <cell r="A51" t="str">
            <v>TLSS</v>
          </cell>
          <cell r="B51">
            <v>-37207</v>
          </cell>
          <cell r="C51">
            <v>-1423100</v>
          </cell>
        </row>
        <row r="52">
          <cell r="A52" t="str">
            <v>Grand Total</v>
          </cell>
          <cell r="B52">
            <v>-213056761.56000006</v>
          </cell>
          <cell r="C52">
            <v>-2900716130.1500001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eirachy"/>
      <sheetName val="Pivot"/>
      <sheetName val="Data"/>
      <sheetName val="Sheet5"/>
      <sheetName val="Sheet3"/>
    </sheetNames>
    <sheetDataSet>
      <sheetData sheetId="0" refreshError="1"/>
      <sheetData sheetId="1" refreshError="1"/>
      <sheetData sheetId="2" refreshError="1">
        <row r="1">
          <cell r="A1" t="str">
            <v>Sum of GC value</v>
          </cell>
        </row>
        <row r="2">
          <cell r="A2" t="str">
            <v>Unit</v>
          </cell>
          <cell r="B2" t="str">
            <v>Total</v>
          </cell>
        </row>
        <row r="3">
          <cell r="A3" t="str">
            <v>ABE</v>
          </cell>
          <cell r="B3">
            <v>0</v>
          </cell>
        </row>
        <row r="4">
          <cell r="A4" t="str">
            <v>AFR</v>
          </cell>
          <cell r="B4">
            <v>0</v>
          </cell>
        </row>
        <row r="5">
          <cell r="A5" t="str">
            <v>AHE</v>
          </cell>
          <cell r="B5">
            <v>-21009049.770000003</v>
          </cell>
        </row>
        <row r="6">
          <cell r="A6" t="str">
            <v>AIB</v>
          </cell>
          <cell r="B6">
            <v>0</v>
          </cell>
        </row>
        <row r="7">
          <cell r="A7" t="str">
            <v>ALC</v>
          </cell>
          <cell r="B7">
            <v>-82789875.569999993</v>
          </cell>
        </row>
        <row r="8">
          <cell r="A8" t="str">
            <v>ALM</v>
          </cell>
          <cell r="B8">
            <v>-49126354.950000003</v>
          </cell>
        </row>
        <row r="9">
          <cell r="A9" t="str">
            <v>AMA</v>
          </cell>
          <cell r="B9">
            <v>-9740384.4699999988</v>
          </cell>
        </row>
        <row r="10">
          <cell r="A10" t="str">
            <v>AMU</v>
          </cell>
          <cell r="B10">
            <v>0</v>
          </cell>
        </row>
        <row r="11">
          <cell r="A11" t="str">
            <v>ANE</v>
          </cell>
          <cell r="B11">
            <v>0</v>
          </cell>
        </row>
        <row r="12">
          <cell r="A12" t="str">
            <v>AST</v>
          </cell>
          <cell r="B12">
            <v>-6618947.3700000001</v>
          </cell>
        </row>
        <row r="13">
          <cell r="A13" t="str">
            <v>CBS</v>
          </cell>
          <cell r="B13">
            <v>-707841.89</v>
          </cell>
        </row>
        <row r="14">
          <cell r="A14" t="str">
            <v>CUK</v>
          </cell>
          <cell r="B14">
            <v>-26552766.34</v>
          </cell>
        </row>
        <row r="15">
          <cell r="A15" t="str">
            <v>FRM</v>
          </cell>
          <cell r="B15">
            <v>-35910633.479999997</v>
          </cell>
        </row>
        <row r="16">
          <cell r="A16" t="str">
            <v>GGP</v>
          </cell>
          <cell r="B16">
            <v>-29287052.859999999</v>
          </cell>
        </row>
        <row r="17">
          <cell r="A17" t="str">
            <v>HAN</v>
          </cell>
          <cell r="B17">
            <v>-9967477.3800000008</v>
          </cell>
        </row>
        <row r="18">
          <cell r="A18" t="str">
            <v>ISR</v>
          </cell>
          <cell r="B18">
            <v>-8628947.3699999992</v>
          </cell>
        </row>
        <row r="19">
          <cell r="A19" t="str">
            <v>JUH</v>
          </cell>
          <cell r="B19">
            <v>-20686173.469999999</v>
          </cell>
        </row>
        <row r="20">
          <cell r="A20" t="str">
            <v>KAB</v>
          </cell>
          <cell r="B20">
            <v>-31229472.489999998</v>
          </cell>
        </row>
        <row r="21">
          <cell r="A21" t="str">
            <v>KOR</v>
          </cell>
          <cell r="B21">
            <v>-3938288.87</v>
          </cell>
        </row>
        <row r="22">
          <cell r="A22" t="str">
            <v>MCA</v>
          </cell>
          <cell r="B22">
            <v>-13360521.970000001</v>
          </cell>
        </row>
        <row r="23">
          <cell r="A23" t="str">
            <v>MEL</v>
          </cell>
          <cell r="B23">
            <v>-6162966.6300000008</v>
          </cell>
        </row>
        <row r="24">
          <cell r="A24" t="str">
            <v>MER</v>
          </cell>
          <cell r="B24">
            <v>-17798471.989999998</v>
          </cell>
        </row>
        <row r="25">
          <cell r="A25" t="str">
            <v>MTD</v>
          </cell>
          <cell r="B25">
            <v>-83511473.680000007</v>
          </cell>
        </row>
        <row r="26">
          <cell r="A26" t="str">
            <v>NAT</v>
          </cell>
          <cell r="B26">
            <v>-21070263.160000004</v>
          </cell>
        </row>
        <row r="27">
          <cell r="A27" t="str">
            <v>NED</v>
          </cell>
          <cell r="B27">
            <v>-6153139.1399999978</v>
          </cell>
        </row>
        <row r="28">
          <cell r="A28" t="str">
            <v>NOR</v>
          </cell>
          <cell r="B28">
            <v>-1486605.48</v>
          </cell>
        </row>
        <row r="29">
          <cell r="A29" t="str">
            <v>OCC</v>
          </cell>
          <cell r="B29">
            <v>-62933946.060000002</v>
          </cell>
        </row>
        <row r="30">
          <cell r="A30" t="str">
            <v>PCM</v>
          </cell>
          <cell r="B30">
            <v>-3539307.48</v>
          </cell>
        </row>
        <row r="31">
          <cell r="A31" t="str">
            <v>PHI</v>
          </cell>
          <cell r="B31">
            <v>-4010063.68</v>
          </cell>
        </row>
        <row r="32">
          <cell r="A32" t="str">
            <v>PRE</v>
          </cell>
          <cell r="B32">
            <v>-4228294.6900000004</v>
          </cell>
        </row>
        <row r="33">
          <cell r="A33" t="str">
            <v>PRO</v>
          </cell>
          <cell r="B33">
            <v>-5210000</v>
          </cell>
        </row>
        <row r="34">
          <cell r="A34" t="str">
            <v>RIS</v>
          </cell>
          <cell r="B34">
            <v>-169054231.12</v>
          </cell>
        </row>
        <row r="35">
          <cell r="A35" t="str">
            <v>SBE</v>
          </cell>
          <cell r="B35">
            <v>-564878393.66999996</v>
          </cell>
        </row>
        <row r="36">
          <cell r="A36" t="str">
            <v>SLE</v>
          </cell>
          <cell r="B36">
            <v>-99713684.210000023</v>
          </cell>
        </row>
        <row r="37">
          <cell r="A37" t="str">
            <v>STA</v>
          </cell>
          <cell r="B37">
            <v>-884535947.37</v>
          </cell>
        </row>
        <row r="38">
          <cell r="A38" t="str">
            <v>SUC</v>
          </cell>
          <cell r="B38">
            <v>-18732482.07</v>
          </cell>
        </row>
        <row r="39">
          <cell r="A39" t="str">
            <v>TAM</v>
          </cell>
          <cell r="B39">
            <v>-4501555.43</v>
          </cell>
        </row>
        <row r="40">
          <cell r="A40" t="str">
            <v>TCA</v>
          </cell>
          <cell r="B40">
            <v>-26972100</v>
          </cell>
        </row>
        <row r="41">
          <cell r="A41" t="str">
            <v>TCU</v>
          </cell>
          <cell r="B41">
            <v>-43999526.32</v>
          </cell>
        </row>
        <row r="42">
          <cell r="A42" t="str">
            <v>TLI</v>
          </cell>
          <cell r="B42">
            <v>-356652105.25999999</v>
          </cell>
        </row>
        <row r="43">
          <cell r="A43" t="str">
            <v>TLP</v>
          </cell>
          <cell r="B43">
            <v>-578619.91</v>
          </cell>
        </row>
        <row r="44">
          <cell r="A44" t="str">
            <v>TLS</v>
          </cell>
          <cell r="B44">
            <v>-472589600</v>
          </cell>
        </row>
        <row r="45">
          <cell r="A45" t="str">
            <v>UME</v>
          </cell>
          <cell r="B45">
            <v>-4641685.5199999996</v>
          </cell>
        </row>
        <row r="46">
          <cell r="A46" t="str">
            <v>UMI</v>
          </cell>
          <cell r="B46">
            <v>-5304000</v>
          </cell>
        </row>
        <row r="47">
          <cell r="A47" t="str">
            <v>UMK</v>
          </cell>
          <cell r="B47">
            <v>-17890000</v>
          </cell>
        </row>
        <row r="48">
          <cell r="A48" t="str">
            <v>UNS</v>
          </cell>
          <cell r="B48">
            <v>-7956000</v>
          </cell>
        </row>
        <row r="49">
          <cell r="A49" t="str">
            <v>DOL</v>
          </cell>
          <cell r="B49">
            <v>-5921793.6299999999</v>
          </cell>
        </row>
        <row r="50">
          <cell r="A50" t="str">
            <v>(blank)</v>
          </cell>
        </row>
        <row r="51">
          <cell r="A51" t="str">
            <v>ABU</v>
          </cell>
          <cell r="B51">
            <v>-20499237.259999998</v>
          </cell>
        </row>
        <row r="52">
          <cell r="A52" t="str">
            <v>ANI</v>
          </cell>
          <cell r="B52">
            <v>-24883947.380000003</v>
          </cell>
        </row>
        <row r="53">
          <cell r="A53" t="str">
            <v>ASL</v>
          </cell>
          <cell r="B53">
            <v>-24674159.619999997</v>
          </cell>
        </row>
        <row r="54">
          <cell r="A54" t="str">
            <v>HUN</v>
          </cell>
          <cell r="B54">
            <v>-22207584.449999996</v>
          </cell>
        </row>
        <row r="55">
          <cell r="A55" t="str">
            <v>SAO</v>
          </cell>
          <cell r="B55">
            <v>-9943191.4600000009</v>
          </cell>
        </row>
        <row r="56">
          <cell r="A56" t="str">
            <v>SED</v>
          </cell>
          <cell r="B56">
            <v>-31835442.600000001</v>
          </cell>
        </row>
        <row r="57">
          <cell r="A57" t="str">
            <v>ARO</v>
          </cell>
          <cell r="B57">
            <v>-2165938.5299999998</v>
          </cell>
        </row>
        <row r="58">
          <cell r="A58" t="str">
            <v>MAG</v>
          </cell>
          <cell r="B58">
            <v>-1156815.6100000001</v>
          </cell>
        </row>
        <row r="59">
          <cell r="A59" t="str">
            <v>Grand Total</v>
          </cell>
          <cell r="B59">
            <v>-3386946361.6600008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Page"/>
      <sheetName val="YTD £GBP"/>
      <sheetName val="MTD £GBP"/>
      <sheetName val="FX Rates"/>
      <sheetName val="Heirachy"/>
      <sheetName val="Tabelle1"/>
      <sheetName val="Tabelle2 (5)"/>
      <sheetName val="saphiddenvaluecache"/>
      <sheetName val="saphiddenbackup"/>
      <sheetName val="saphiddenpivotdefinition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Currency</v>
          </cell>
          <cell r="F1" t="str">
            <v>SALES (MONTH)</v>
          </cell>
          <cell r="N1" t="str">
            <v>SALES (YEAR TO DATE)</v>
          </cell>
          <cell r="V1" t="str">
            <v>PBIEA (MONTH)</v>
          </cell>
          <cell r="AA1" t="str">
            <v>PBIEA (YEAR TO DATE)</v>
          </cell>
          <cell r="AF1" t="str">
            <v>PBTEA (MONTH)</v>
          </cell>
          <cell r="AK1" t="str">
            <v>PBTEA (YEAR TO DATE)</v>
          </cell>
          <cell r="AQ1" t="str">
            <v>AMORTISATION</v>
          </cell>
          <cell r="AV1" t="str">
            <v>EXCEPTIONALS</v>
          </cell>
        </row>
        <row r="2">
          <cell r="F2" t="str">
            <v>Month - Actuals</v>
          </cell>
          <cell r="K2" t="str">
            <v>Month - F'cast</v>
          </cell>
          <cell r="N2" t="str">
            <v>Year To Date Actuals</v>
          </cell>
          <cell r="S2" t="str">
            <v>Year to Date F'cast</v>
          </cell>
          <cell r="V2" t="str">
            <v>Month - Actuals</v>
          </cell>
          <cell r="AA2" t="str">
            <v>Year to Date Actuals</v>
          </cell>
          <cell r="AF2" t="str">
            <v>Month - Actuals</v>
          </cell>
          <cell r="AK2" t="str">
            <v>Year to Date Actuals</v>
          </cell>
          <cell r="AQ2" t="str">
            <v>Month</v>
          </cell>
          <cell r="AS2" t="str">
            <v>Year to Date</v>
          </cell>
          <cell r="AV2" t="str">
            <v>Month</v>
          </cell>
          <cell r="AX2" t="str">
            <v>Year to Date</v>
          </cell>
        </row>
        <row r="3">
          <cell r="F3" t="str">
            <v>£GBP</v>
          </cell>
          <cell r="H3" t="str">
            <v>At AOP rates</v>
          </cell>
          <cell r="N3" t="str">
            <v>£GBP</v>
          </cell>
          <cell r="P3" t="str">
            <v>At AOP rates</v>
          </cell>
          <cell r="V3" t="str">
            <v>£GBP</v>
          </cell>
          <cell r="X3" t="str">
            <v>At AOP rates</v>
          </cell>
          <cell r="AA3" t="str">
            <v>£GBP</v>
          </cell>
          <cell r="AB3" t="str">
            <v>LOCAL</v>
          </cell>
          <cell r="AC3" t="str">
            <v>At AOP rates</v>
          </cell>
          <cell r="AF3" t="str">
            <v>£GBP</v>
          </cell>
          <cell r="AH3" t="str">
            <v>At AOP rates</v>
          </cell>
          <cell r="AK3" t="str">
            <v>Local</v>
          </cell>
          <cell r="AM3" t="str">
            <v>£GBP</v>
          </cell>
          <cell r="AN3" t="str">
            <v>At AOP rates</v>
          </cell>
          <cell r="AQ3" t="str">
            <v>£GBP</v>
          </cell>
          <cell r="AS3" t="str">
            <v>£GBP</v>
          </cell>
          <cell r="AV3" t="str">
            <v>£GBP</v>
          </cell>
          <cell r="AX3" t="str">
            <v>£GBP</v>
          </cell>
        </row>
        <row r="6">
          <cell r="A6" t="str">
            <v>SUH</v>
          </cell>
          <cell r="B6" t="str">
            <v>T&amp;L SUGAR HOLDINGS INC</v>
          </cell>
          <cell r="C6" t="str">
            <v>USD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-290054.03999999998</v>
          </cell>
          <cell r="V6">
            <v>-290054.03999999998</v>
          </cell>
          <cell r="W6">
            <v>-536600</v>
          </cell>
          <cell r="X6">
            <v>-273775.51020408166</v>
          </cell>
          <cell r="Z6">
            <v>23648.52</v>
          </cell>
          <cell r="AA6">
            <v>23648.52</v>
          </cell>
          <cell r="AB6">
            <v>214000</v>
          </cell>
          <cell r="AC6">
            <v>109183.67346938775</v>
          </cell>
          <cell r="AE6">
            <v>-576324.32000000007</v>
          </cell>
          <cell r="AF6">
            <v>-576324.32000000007</v>
          </cell>
          <cell r="AG6">
            <v>-1066200</v>
          </cell>
          <cell r="AH6">
            <v>-543979.59183673467</v>
          </cell>
          <cell r="AJ6">
            <v>-5913300</v>
          </cell>
          <cell r="AK6">
            <v>-5913300</v>
          </cell>
          <cell r="AL6">
            <v>-3214047.1199999996</v>
          </cell>
          <cell r="AM6">
            <v>-3214047.1199999996</v>
          </cell>
          <cell r="AN6">
            <v>-3016989.7959183673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</row>
        <row r="7">
          <cell r="A7" t="str">
            <v>RIS</v>
          </cell>
          <cell r="B7" t="str">
            <v>CANADA</v>
          </cell>
          <cell r="C7" t="str">
            <v>CAD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</row>
        <row r="8">
          <cell r="A8" t="str">
            <v>OCC</v>
          </cell>
          <cell r="B8" t="str">
            <v>ODDICENTE (JV)</v>
          </cell>
          <cell r="C8" t="str">
            <v>MXP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</row>
        <row r="9">
          <cell r="A9" t="str">
            <v>PRO</v>
          </cell>
          <cell r="B9" t="str">
            <v>Tate &amp; Lyle Process Technology</v>
          </cell>
          <cell r="C9" t="str">
            <v>GBP</v>
          </cell>
          <cell r="E9">
            <v>696400</v>
          </cell>
          <cell r="F9">
            <v>696400</v>
          </cell>
          <cell r="G9">
            <v>696400</v>
          </cell>
          <cell r="H9">
            <v>696400</v>
          </cell>
          <cell r="J9">
            <v>696400</v>
          </cell>
          <cell r="K9">
            <v>696400</v>
          </cell>
          <cell r="M9">
            <v>8262000</v>
          </cell>
          <cell r="N9">
            <v>8262000</v>
          </cell>
          <cell r="O9">
            <v>8262000</v>
          </cell>
          <cell r="P9">
            <v>8262000</v>
          </cell>
          <cell r="R9">
            <v>8262000</v>
          </cell>
          <cell r="S9">
            <v>8262000</v>
          </cell>
          <cell r="U9">
            <v>-843200</v>
          </cell>
          <cell r="V9">
            <v>-843200</v>
          </cell>
          <cell r="W9">
            <v>-843200</v>
          </cell>
          <cell r="X9">
            <v>-843200</v>
          </cell>
          <cell r="Z9">
            <v>-5010100</v>
          </cell>
          <cell r="AA9">
            <v>-5010100</v>
          </cell>
          <cell r="AB9">
            <v>-5010100</v>
          </cell>
          <cell r="AC9">
            <v>-5010100</v>
          </cell>
          <cell r="AE9">
            <v>-846000</v>
          </cell>
          <cell r="AF9">
            <v>-846000</v>
          </cell>
          <cell r="AG9">
            <v>-846000</v>
          </cell>
          <cell r="AH9">
            <v>-846000</v>
          </cell>
          <cell r="AJ9">
            <v>-5250200</v>
          </cell>
          <cell r="AK9">
            <v>-5250200</v>
          </cell>
          <cell r="AL9">
            <v>-5250200</v>
          </cell>
          <cell r="AM9">
            <v>-5250200</v>
          </cell>
          <cell r="AN9">
            <v>-5250200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</row>
        <row r="10">
          <cell r="A10" t="str">
            <v>PRS</v>
          </cell>
          <cell r="B10" t="str">
            <v>TLPT Inc</v>
          </cell>
          <cell r="C10" t="str">
            <v>GBP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</row>
        <row r="11">
          <cell r="A11" t="str">
            <v>PRX</v>
          </cell>
          <cell r="B11" t="str">
            <v>T&amp;L Process Technology Mexico</v>
          </cell>
          <cell r="C11" t="str">
            <v>MXP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A12" t="str">
            <v>PROTOT</v>
          </cell>
          <cell r="B12" t="str">
            <v>T&amp;L PROCESS TECHNOLOGY</v>
          </cell>
          <cell r="E12">
            <v>696400</v>
          </cell>
          <cell r="F12">
            <v>696400</v>
          </cell>
          <cell r="G12">
            <v>696400</v>
          </cell>
          <cell r="H12">
            <v>696400</v>
          </cell>
          <cell r="J12">
            <v>696400</v>
          </cell>
          <cell r="K12">
            <v>696400</v>
          </cell>
          <cell r="M12">
            <v>8262000</v>
          </cell>
          <cell r="N12">
            <v>8262000</v>
          </cell>
          <cell r="O12">
            <v>8262000</v>
          </cell>
          <cell r="P12">
            <v>8262000</v>
          </cell>
          <cell r="R12">
            <v>8262000</v>
          </cell>
          <cell r="S12">
            <v>8262000</v>
          </cell>
          <cell r="U12">
            <v>-843200</v>
          </cell>
          <cell r="V12">
            <v>-843200</v>
          </cell>
          <cell r="W12">
            <v>-843200</v>
          </cell>
          <cell r="X12">
            <v>-843200</v>
          </cell>
          <cell r="Z12">
            <v>-5010100</v>
          </cell>
          <cell r="AA12">
            <v>-5010100</v>
          </cell>
          <cell r="AB12">
            <v>-5010100</v>
          </cell>
          <cell r="AC12">
            <v>-5010100</v>
          </cell>
          <cell r="AE12">
            <v>-846000</v>
          </cell>
          <cell r="AF12">
            <v>-846000</v>
          </cell>
          <cell r="AG12">
            <v>-846000</v>
          </cell>
          <cell r="AH12">
            <v>-846000</v>
          </cell>
          <cell r="AJ12">
            <v>-5250200</v>
          </cell>
          <cell r="AK12">
            <v>-5250200</v>
          </cell>
          <cell r="AL12">
            <v>-5250200</v>
          </cell>
          <cell r="AM12">
            <v>-5250200</v>
          </cell>
          <cell r="AN12">
            <v>-5250200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A13" t="str">
            <v>AVS</v>
          </cell>
          <cell r="B13" t="str">
            <v>Anglo Vietnam Sugar Investment</v>
          </cell>
          <cell r="C13" t="str">
            <v>USD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3000</v>
          </cell>
          <cell r="AK13">
            <v>3000</v>
          </cell>
          <cell r="AL13">
            <v>1584.12</v>
          </cell>
          <cell r="AM13">
            <v>1584.12</v>
          </cell>
          <cell r="AN13">
            <v>1530.6122448979593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</row>
        <row r="14">
          <cell r="A14" t="str">
            <v>NAT</v>
          </cell>
          <cell r="B14" t="str">
            <v>Nghe An Tate &amp; Lyle</v>
          </cell>
          <cell r="C14" t="str">
            <v>USD</v>
          </cell>
          <cell r="E14">
            <v>2800270.26</v>
          </cell>
          <cell r="F14">
            <v>2800270.26</v>
          </cell>
          <cell r="G14">
            <v>5180500</v>
          </cell>
          <cell r="H14">
            <v>2643112.2448979593</v>
          </cell>
          <cell r="J14">
            <v>2800270.26</v>
          </cell>
          <cell r="K14">
            <v>2800270.26</v>
          </cell>
          <cell r="M14">
            <v>26831423.780000001</v>
          </cell>
          <cell r="N14">
            <v>26831423.780000001</v>
          </cell>
          <cell r="O14">
            <v>50809600</v>
          </cell>
          <cell r="P14">
            <v>25923265.306122448</v>
          </cell>
          <cell r="R14">
            <v>26831423.780000001</v>
          </cell>
          <cell r="S14">
            <v>26831423.780000001</v>
          </cell>
          <cell r="U14">
            <v>626486.49</v>
          </cell>
          <cell r="V14">
            <v>626486.49</v>
          </cell>
          <cell r="W14">
            <v>1159000</v>
          </cell>
          <cell r="X14">
            <v>591326.53061224485</v>
          </cell>
          <cell r="Z14">
            <v>5220808.87</v>
          </cell>
          <cell r="AA14">
            <v>5220808.87</v>
          </cell>
          <cell r="AB14">
            <v>9909500</v>
          </cell>
          <cell r="AC14">
            <v>5055867.3469387759</v>
          </cell>
          <cell r="AE14">
            <v>631243.25</v>
          </cell>
          <cell r="AF14">
            <v>631243.25</v>
          </cell>
          <cell r="AG14">
            <v>1167800</v>
          </cell>
          <cell r="AH14">
            <v>595816.32653061231</v>
          </cell>
          <cell r="AJ14">
            <v>10339800</v>
          </cell>
          <cell r="AK14">
            <v>10339800</v>
          </cell>
          <cell r="AL14">
            <v>5446890.5499999998</v>
          </cell>
          <cell r="AM14">
            <v>5446890.5499999998</v>
          </cell>
          <cell r="AN14">
            <v>5275408.1632653065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A15" t="str">
            <v>VUK</v>
          </cell>
          <cell r="B15" t="str">
            <v>Vietnam UK</v>
          </cell>
          <cell r="C15" t="str">
            <v>GBP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VIET</v>
          </cell>
          <cell r="B16" t="str">
            <v>VIETNAM</v>
          </cell>
          <cell r="F16">
            <v>2800270.26</v>
          </cell>
          <cell r="H16">
            <v>2643112.2448979593</v>
          </cell>
          <cell r="J16" t="e">
            <v>#N/A</v>
          </cell>
          <cell r="K16">
            <v>2800270.26</v>
          </cell>
          <cell r="M16" t="e">
            <v>#N/A</v>
          </cell>
          <cell r="N16">
            <v>26831423.780000001</v>
          </cell>
          <cell r="O16" t="e">
            <v>#N/A</v>
          </cell>
          <cell r="P16">
            <v>25923265.306122448</v>
          </cell>
          <cell r="R16" t="e">
            <v>#N/A</v>
          </cell>
          <cell r="S16">
            <v>26831423.780000001</v>
          </cell>
          <cell r="U16" t="e">
            <v>#N/A</v>
          </cell>
          <cell r="V16">
            <v>626486.49</v>
          </cell>
          <cell r="W16" t="e">
            <v>#N/A</v>
          </cell>
          <cell r="X16">
            <v>591326.53061224485</v>
          </cell>
          <cell r="Z16" t="e">
            <v>#N/A</v>
          </cell>
          <cell r="AA16">
            <v>5220808.87</v>
          </cell>
          <cell r="AB16" t="e">
            <v>#N/A</v>
          </cell>
          <cell r="AC16">
            <v>5055867.3469387759</v>
          </cell>
          <cell r="AE16" t="e">
            <v>#N/A</v>
          </cell>
          <cell r="AF16">
            <v>631243.25</v>
          </cell>
          <cell r="AG16" t="e">
            <v>#N/A</v>
          </cell>
          <cell r="AH16">
            <v>595816.32653061231</v>
          </cell>
          <cell r="AJ16" t="e">
            <v>#N/A</v>
          </cell>
          <cell r="AK16">
            <v>0</v>
          </cell>
          <cell r="AL16" t="e">
            <v>#N/A</v>
          </cell>
          <cell r="AM16">
            <v>5448474.6699999999</v>
          </cell>
          <cell r="AN16">
            <v>5276938.775510204</v>
          </cell>
          <cell r="AP16" t="e">
            <v>#N/A</v>
          </cell>
          <cell r="AQ16">
            <v>0</v>
          </cell>
          <cell r="AR16" t="e">
            <v>#N/A</v>
          </cell>
          <cell r="AS16">
            <v>0</v>
          </cell>
          <cell r="AU16" t="e">
            <v>#N/A</v>
          </cell>
          <cell r="AV16">
            <v>0</v>
          </cell>
          <cell r="AW16" t="e">
            <v>#N/A</v>
          </cell>
          <cell r="AX16">
            <v>0</v>
          </cell>
        </row>
        <row r="17">
          <cell r="A17" t="str">
            <v>TALSAA</v>
          </cell>
          <cell r="E17" t="e">
            <v>#N/A</v>
          </cell>
          <cell r="F17">
            <v>3496670.26</v>
          </cell>
          <cell r="H17">
            <v>3339512.2448979593</v>
          </cell>
          <cell r="J17" t="e">
            <v>#N/A</v>
          </cell>
          <cell r="K17">
            <v>3496670.26</v>
          </cell>
          <cell r="M17" t="e">
            <v>#N/A</v>
          </cell>
          <cell r="N17">
            <v>35093423.780000001</v>
          </cell>
          <cell r="O17" t="e">
            <v>#N/A</v>
          </cell>
          <cell r="P17">
            <v>34185265.306122452</v>
          </cell>
          <cell r="R17" t="e">
            <v>#N/A</v>
          </cell>
          <cell r="S17">
            <v>35093423.780000001</v>
          </cell>
          <cell r="U17" t="e">
            <v>#N/A</v>
          </cell>
          <cell r="V17">
            <v>-506767.55000000005</v>
          </cell>
          <cell r="W17" t="e">
            <v>#N/A</v>
          </cell>
          <cell r="X17">
            <v>-525648.9795918368</v>
          </cell>
          <cell r="Z17" t="e">
            <v>#N/A</v>
          </cell>
          <cell r="AA17">
            <v>234357.38999999966</v>
          </cell>
          <cell r="AB17" t="e">
            <v>#N/A</v>
          </cell>
          <cell r="AC17">
            <v>154951.02040816378</v>
          </cell>
          <cell r="AE17" t="e">
            <v>#N/A</v>
          </cell>
          <cell r="AF17">
            <v>-791081.07000000007</v>
          </cell>
          <cell r="AG17" t="e">
            <v>#N/A</v>
          </cell>
          <cell r="AH17">
            <v>-794163.26530612237</v>
          </cell>
          <cell r="AJ17" t="e">
            <v>#N/A</v>
          </cell>
          <cell r="AK17">
            <v>0</v>
          </cell>
          <cell r="AL17" t="e">
            <v>#N/A</v>
          </cell>
          <cell r="AM17">
            <v>-3015772.4499999993</v>
          </cell>
          <cell r="AN17">
            <v>-2990251.0204081638</v>
          </cell>
          <cell r="AP17" t="e">
            <v>#N/A</v>
          </cell>
          <cell r="AQ17">
            <v>0</v>
          </cell>
          <cell r="AR17" t="e">
            <v>#N/A</v>
          </cell>
          <cell r="AS17">
            <v>0</v>
          </cell>
          <cell r="AU17" t="e">
            <v>#N/A</v>
          </cell>
          <cell r="AV17">
            <v>0</v>
          </cell>
          <cell r="AW17" t="e">
            <v>#N/A</v>
          </cell>
          <cell r="AX17">
            <v>0</v>
          </cell>
        </row>
        <row r="18">
          <cell r="A18" t="str">
            <v>KNT</v>
          </cell>
          <cell r="B18" t="str">
            <v>Kentships</v>
          </cell>
          <cell r="C18" t="str">
            <v>GBP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110600</v>
          </cell>
          <cell r="AA18">
            <v>110600</v>
          </cell>
          <cell r="AB18">
            <v>110600</v>
          </cell>
          <cell r="AC18">
            <v>110600</v>
          </cell>
          <cell r="AE18">
            <v>1200</v>
          </cell>
          <cell r="AF18">
            <v>1200</v>
          </cell>
          <cell r="AG18">
            <v>1200</v>
          </cell>
          <cell r="AH18">
            <v>1200</v>
          </cell>
          <cell r="AJ18">
            <v>119600</v>
          </cell>
          <cell r="AK18">
            <v>119600</v>
          </cell>
          <cell r="AL18">
            <v>119600</v>
          </cell>
          <cell r="AM18">
            <v>119600</v>
          </cell>
          <cell r="AN18">
            <v>119600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</row>
        <row r="19">
          <cell r="A19" t="str">
            <v>NOR</v>
          </cell>
          <cell r="B19" t="str">
            <v>Tate &amp; Lyle Norway</v>
          </cell>
          <cell r="C19" t="str">
            <v>NKK</v>
          </cell>
          <cell r="E19">
            <v>164997.51999999999</v>
          </cell>
          <cell r="F19">
            <v>164997.51999999999</v>
          </cell>
          <cell r="G19">
            <v>1664000</v>
          </cell>
          <cell r="H19">
            <v>154385.53259111996</v>
          </cell>
          <cell r="J19">
            <v>164997.51999999999</v>
          </cell>
          <cell r="K19">
            <v>164997.51999999999</v>
          </cell>
          <cell r="M19">
            <v>1984217.37</v>
          </cell>
          <cell r="N19">
            <v>1984217.37</v>
          </cell>
          <cell r="O19">
            <v>19993000</v>
          </cell>
          <cell r="P19">
            <v>1854945.8852729937</v>
          </cell>
          <cell r="R19">
            <v>1984217.37</v>
          </cell>
          <cell r="S19">
            <v>1984217.37</v>
          </cell>
          <cell r="U19">
            <v>-20793.25</v>
          </cell>
          <cell r="V19">
            <v>-20793.25</v>
          </cell>
          <cell r="W19">
            <v>-209700</v>
          </cell>
          <cell r="X19">
            <v>-19455.917178099673</v>
          </cell>
          <cell r="Z19">
            <v>44651.040000000001</v>
          </cell>
          <cell r="AA19">
            <v>44651.040000000001</v>
          </cell>
          <cell r="AB19">
            <v>450000</v>
          </cell>
          <cell r="AC19">
            <v>41750.895231973547</v>
          </cell>
          <cell r="AE19">
            <v>-5919.68</v>
          </cell>
          <cell r="AF19">
            <v>-5919.68</v>
          </cell>
          <cell r="AG19">
            <v>-59700</v>
          </cell>
          <cell r="AH19">
            <v>-5538.9521007751573</v>
          </cell>
          <cell r="AJ19">
            <v>600000</v>
          </cell>
          <cell r="AK19">
            <v>600000</v>
          </cell>
          <cell r="AL19">
            <v>59524.61</v>
          </cell>
          <cell r="AM19">
            <v>59524.61</v>
          </cell>
          <cell r="AN19">
            <v>55667.860309298063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A20" t="str">
            <v>TLS</v>
          </cell>
          <cell r="B20" t="str">
            <v>Tate &amp; Lyle Sugars</v>
          </cell>
          <cell r="C20" t="str">
            <v>GBP</v>
          </cell>
          <cell r="E20">
            <v>52647300</v>
          </cell>
          <cell r="F20">
            <v>52647300</v>
          </cell>
          <cell r="G20">
            <v>52647300</v>
          </cell>
          <cell r="H20">
            <v>52647300</v>
          </cell>
          <cell r="J20">
            <v>52647300</v>
          </cell>
          <cell r="K20">
            <v>52647300</v>
          </cell>
          <cell r="M20">
            <v>584556500</v>
          </cell>
          <cell r="N20">
            <v>584556500</v>
          </cell>
          <cell r="O20">
            <v>584556500</v>
          </cell>
          <cell r="P20">
            <v>584556500</v>
          </cell>
          <cell r="R20">
            <v>584556500</v>
          </cell>
          <cell r="S20">
            <v>584556500</v>
          </cell>
          <cell r="U20">
            <v>606500</v>
          </cell>
          <cell r="V20">
            <v>606500</v>
          </cell>
          <cell r="W20">
            <v>606500</v>
          </cell>
          <cell r="X20">
            <v>606500</v>
          </cell>
          <cell r="Z20">
            <v>451000</v>
          </cell>
          <cell r="AA20">
            <v>451000</v>
          </cell>
          <cell r="AB20">
            <v>451000</v>
          </cell>
          <cell r="AC20">
            <v>451000</v>
          </cell>
          <cell r="AE20">
            <v>91500</v>
          </cell>
          <cell r="AF20">
            <v>91500</v>
          </cell>
          <cell r="AG20">
            <v>91500</v>
          </cell>
          <cell r="AH20">
            <v>91500</v>
          </cell>
          <cell r="AJ20">
            <v>-4579100</v>
          </cell>
          <cell r="AK20">
            <v>-4579100</v>
          </cell>
          <cell r="AL20">
            <v>-4579100</v>
          </cell>
          <cell r="AM20">
            <v>-4579100</v>
          </cell>
          <cell r="AN20">
            <v>-4579100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 t="str">
            <v>TLSTOT</v>
          </cell>
          <cell r="B21" t="str">
            <v>THAMES</v>
          </cell>
          <cell r="E21">
            <v>52812297.520000003</v>
          </cell>
          <cell r="F21">
            <v>52812297.520000003</v>
          </cell>
          <cell r="G21">
            <v>0</v>
          </cell>
          <cell r="H21">
            <v>52801685.532591119</v>
          </cell>
          <cell r="J21">
            <v>52812297.520000003</v>
          </cell>
          <cell r="K21">
            <v>52812297.520000003</v>
          </cell>
          <cell r="M21">
            <v>586540717.37</v>
          </cell>
          <cell r="N21">
            <v>586540717.37</v>
          </cell>
          <cell r="O21">
            <v>0</v>
          </cell>
          <cell r="P21">
            <v>586411445.88527298</v>
          </cell>
          <cell r="R21">
            <v>586540717.37</v>
          </cell>
          <cell r="S21">
            <v>586540717.37</v>
          </cell>
          <cell r="U21">
            <v>585706.75</v>
          </cell>
          <cell r="V21">
            <v>585706.75</v>
          </cell>
          <cell r="W21">
            <v>-3200</v>
          </cell>
          <cell r="X21">
            <v>587044.08282190037</v>
          </cell>
          <cell r="Z21">
            <v>606251.04</v>
          </cell>
          <cell r="AA21">
            <v>606251.04</v>
          </cell>
          <cell r="AB21">
            <v>-38400</v>
          </cell>
          <cell r="AC21">
            <v>603350.89523197361</v>
          </cell>
          <cell r="AE21">
            <v>86780.32</v>
          </cell>
          <cell r="AF21">
            <v>86780.32</v>
          </cell>
          <cell r="AG21">
            <v>-760400</v>
          </cell>
          <cell r="AH21">
            <v>87161.047899224839</v>
          </cell>
          <cell r="AJ21">
            <v>-9248300</v>
          </cell>
          <cell r="AK21">
            <v>-9248300</v>
          </cell>
          <cell r="AL21">
            <v>-4399975.3899999997</v>
          </cell>
          <cell r="AM21">
            <v>-4399975.3899999997</v>
          </cell>
          <cell r="AN21">
            <v>-4403832.1396907018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A22" t="str">
            <v>ALC</v>
          </cell>
          <cell r="B22" t="str">
            <v>LISBON</v>
          </cell>
          <cell r="C22" t="str">
            <v>EUR</v>
          </cell>
          <cell r="E22">
            <v>9421428.5700000003</v>
          </cell>
          <cell r="F22">
            <v>9421428.5700000003</v>
          </cell>
          <cell r="G22">
            <v>11871000</v>
          </cell>
          <cell r="H22">
            <v>8793333.3333333321</v>
          </cell>
          <cell r="J22">
            <v>9421428.5700000003</v>
          </cell>
          <cell r="K22">
            <v>9421428.5700000003</v>
          </cell>
          <cell r="M22">
            <v>116454535.17</v>
          </cell>
          <cell r="N22">
            <v>116454535.17</v>
          </cell>
          <cell r="O22">
            <v>146809300</v>
          </cell>
          <cell r="P22">
            <v>108747629.62962963</v>
          </cell>
          <cell r="R22">
            <v>116454535.17</v>
          </cell>
          <cell r="S22">
            <v>116454535.17</v>
          </cell>
          <cell r="U22">
            <v>866269.85</v>
          </cell>
          <cell r="V22">
            <v>866269.85</v>
          </cell>
          <cell r="W22">
            <v>1091500</v>
          </cell>
          <cell r="X22">
            <v>808518.51851851842</v>
          </cell>
          <cell r="Z22">
            <v>8976797.6699999999</v>
          </cell>
          <cell r="AA22">
            <v>8976797.6699999999</v>
          </cell>
          <cell r="AB22">
            <v>11315000</v>
          </cell>
          <cell r="AC22">
            <v>8381481.4814814813</v>
          </cell>
          <cell r="AE22">
            <v>855238.1</v>
          </cell>
          <cell r="AF22">
            <v>855238.1</v>
          </cell>
          <cell r="AG22">
            <v>1077600</v>
          </cell>
          <cell r="AH22">
            <v>798222.22222222213</v>
          </cell>
          <cell r="AJ22">
            <v>11737100</v>
          </cell>
          <cell r="AK22">
            <v>11737100</v>
          </cell>
          <cell r="AL22">
            <v>9311343.6600000001</v>
          </cell>
          <cell r="AM22">
            <v>9311343.6600000001</v>
          </cell>
          <cell r="AN22">
            <v>8694148.1481481474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A23" t="str">
            <v>LCC</v>
          </cell>
          <cell r="B23" t="str">
            <v>London Cargo Consultants Ltd</v>
          </cell>
          <cell r="C23" t="str">
            <v>GBP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</row>
        <row r="24">
          <cell r="A24" t="str">
            <v>TKS</v>
          </cell>
          <cell r="B24" t="str">
            <v>Tankers Limited (Dormant)</v>
          </cell>
          <cell r="C24" t="str">
            <v>GBP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 t="str">
            <v>UMOGCA</v>
          </cell>
          <cell r="B25" t="str">
            <v>UMO Consolidation adj's (Dexter House)</v>
          </cell>
          <cell r="C25" t="str">
            <v>GBP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</row>
        <row r="26">
          <cell r="A26" t="str">
            <v>UMS</v>
          </cell>
          <cell r="B26" t="str">
            <v>United Molasses (Sudan) Ltd</v>
          </cell>
          <cell r="C26" t="str">
            <v>SDP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27" t="str">
            <v>UMUGCA</v>
          </cell>
          <cell r="B27" t="str">
            <v>UMU Consolidation adj's</v>
          </cell>
          <cell r="C27" t="str">
            <v>GBP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COM</v>
          </cell>
          <cell r="B28" t="str">
            <v>Compania Melazas SA</v>
          </cell>
          <cell r="C28" t="str">
            <v>EUR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M28">
            <v>94589.18</v>
          </cell>
          <cell r="N28">
            <v>94589.18</v>
          </cell>
          <cell r="O28">
            <v>119250</v>
          </cell>
          <cell r="P28">
            <v>88333.333333333328</v>
          </cell>
          <cell r="R28">
            <v>94589.18</v>
          </cell>
          <cell r="S28">
            <v>94589.18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8205.01</v>
          </cell>
          <cell r="AA28">
            <v>8205.01</v>
          </cell>
          <cell r="AB28">
            <v>10350</v>
          </cell>
          <cell r="AC28">
            <v>7666.6666666666661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10850</v>
          </cell>
          <cell r="AK28">
            <v>10850</v>
          </cell>
          <cell r="AL28">
            <v>8601.18</v>
          </cell>
          <cell r="AM28">
            <v>8601.18</v>
          </cell>
          <cell r="AN28">
            <v>8037.0370370370365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 t="str">
            <v>FRM</v>
          </cell>
          <cell r="B29" t="str">
            <v>France Melasse</v>
          </cell>
          <cell r="C29" t="str">
            <v>EUR</v>
          </cell>
          <cell r="E29">
            <v>2492857.14</v>
          </cell>
          <cell r="F29">
            <v>2492857.14</v>
          </cell>
          <cell r="G29">
            <v>3141000</v>
          </cell>
          <cell r="H29">
            <v>2326666.6666666665</v>
          </cell>
          <cell r="J29">
            <v>2492857.14</v>
          </cell>
          <cell r="K29">
            <v>2492857.14</v>
          </cell>
          <cell r="M29">
            <v>32614397.890000001</v>
          </cell>
          <cell r="N29">
            <v>32614397.890000001</v>
          </cell>
          <cell r="O29">
            <v>41117100</v>
          </cell>
          <cell r="P29">
            <v>30457111.111111108</v>
          </cell>
          <cell r="R29">
            <v>32614397.890000001</v>
          </cell>
          <cell r="S29">
            <v>32614397.890000001</v>
          </cell>
          <cell r="U29">
            <v>105238.1</v>
          </cell>
          <cell r="V29">
            <v>105238.1</v>
          </cell>
          <cell r="W29">
            <v>132600</v>
          </cell>
          <cell r="X29">
            <v>98222.222222222219</v>
          </cell>
          <cell r="Z29">
            <v>1983492.76</v>
          </cell>
          <cell r="AA29">
            <v>1983492.76</v>
          </cell>
          <cell r="AB29">
            <v>2500500</v>
          </cell>
          <cell r="AC29">
            <v>1852222.222222222</v>
          </cell>
          <cell r="AE29">
            <v>109206.35</v>
          </cell>
          <cell r="AF29">
            <v>109206.35</v>
          </cell>
          <cell r="AG29">
            <v>137600</v>
          </cell>
          <cell r="AH29">
            <v>101925.92592592591</v>
          </cell>
          <cell r="AJ29">
            <v>2560500</v>
          </cell>
          <cell r="AK29">
            <v>2560500</v>
          </cell>
          <cell r="AL29">
            <v>2031092.69</v>
          </cell>
          <cell r="AM29">
            <v>2031092.69</v>
          </cell>
          <cell r="AN29">
            <v>1896666.6666666665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W29">
            <v>-79.7</v>
          </cell>
          <cell r="AX29">
            <v>-79.7</v>
          </cell>
        </row>
        <row r="30">
          <cell r="A30" t="str">
            <v>HAN</v>
          </cell>
          <cell r="B30" t="str">
            <v>Hansa Melasse H GmbH</v>
          </cell>
          <cell r="C30" t="str">
            <v>EUR</v>
          </cell>
          <cell r="E30">
            <v>162063.49</v>
          </cell>
          <cell r="F30">
            <v>162063.49</v>
          </cell>
          <cell r="G30">
            <v>204200</v>
          </cell>
          <cell r="H30">
            <v>151259.25925925924</v>
          </cell>
          <cell r="J30">
            <v>162063.49</v>
          </cell>
          <cell r="K30">
            <v>162063.49</v>
          </cell>
          <cell r="M30">
            <v>5693834.6900000004</v>
          </cell>
          <cell r="N30">
            <v>5693834.6900000004</v>
          </cell>
          <cell r="O30">
            <v>7177000</v>
          </cell>
          <cell r="P30">
            <v>5316296.2962962957</v>
          </cell>
          <cell r="R30">
            <v>5693834.6900000004</v>
          </cell>
          <cell r="S30">
            <v>5693834.6900000004</v>
          </cell>
          <cell r="U30">
            <v>-33174.61</v>
          </cell>
          <cell r="V30">
            <v>-33174.61</v>
          </cell>
          <cell r="W30">
            <v>-41800</v>
          </cell>
          <cell r="X30">
            <v>-30962.96296296296</v>
          </cell>
          <cell r="Z30">
            <v>476182.52</v>
          </cell>
          <cell r="AA30">
            <v>476182.52</v>
          </cell>
          <cell r="AB30">
            <v>600300</v>
          </cell>
          <cell r="AC30">
            <v>444666.66666666663</v>
          </cell>
          <cell r="AE30">
            <v>-45079.37</v>
          </cell>
          <cell r="AF30">
            <v>-45079.37</v>
          </cell>
          <cell r="AG30">
            <v>-56800</v>
          </cell>
          <cell r="AH30">
            <v>-42074.074074074073</v>
          </cell>
          <cell r="AJ30">
            <v>399700</v>
          </cell>
          <cell r="AK30">
            <v>399700</v>
          </cell>
          <cell r="AL30">
            <v>317067.96000000002</v>
          </cell>
          <cell r="AM30">
            <v>317067.96000000002</v>
          </cell>
          <cell r="AN30">
            <v>296074.07407407404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 t="str">
            <v>IBE</v>
          </cell>
          <cell r="B31" t="str">
            <v>Talan Iberica</v>
          </cell>
          <cell r="C31" t="str">
            <v>EUR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A32" t="str">
            <v>KRU</v>
          </cell>
          <cell r="B32" t="str">
            <v>Kruden</v>
          </cell>
          <cell r="C32" t="str">
            <v>GBP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A33" t="str">
            <v>MEL</v>
          </cell>
          <cell r="B33" t="str">
            <v>Melassa Itaiiana (Melitalia) S</v>
          </cell>
          <cell r="C33" t="str">
            <v>EUR</v>
          </cell>
          <cell r="E33">
            <v>463888.89</v>
          </cell>
          <cell r="F33">
            <v>463888.89</v>
          </cell>
          <cell r="G33">
            <v>584500</v>
          </cell>
          <cell r="H33">
            <v>432962.96296296292</v>
          </cell>
          <cell r="J33">
            <v>463888.89</v>
          </cell>
          <cell r="K33">
            <v>463888.89</v>
          </cell>
          <cell r="M33">
            <v>8331077.46</v>
          </cell>
          <cell r="N33">
            <v>8331077.46</v>
          </cell>
          <cell r="O33">
            <v>10504100</v>
          </cell>
          <cell r="P33">
            <v>7780814.8148148144</v>
          </cell>
          <cell r="R33">
            <v>8331077.46</v>
          </cell>
          <cell r="S33">
            <v>8331077.46</v>
          </cell>
          <cell r="U33">
            <v>-317.45999999999998</v>
          </cell>
          <cell r="V33">
            <v>-317.45999999999998</v>
          </cell>
          <cell r="W33">
            <v>-400</v>
          </cell>
          <cell r="X33">
            <v>-296.2962962962963</v>
          </cell>
          <cell r="Z33">
            <v>528491.41</v>
          </cell>
          <cell r="AA33">
            <v>528491.41</v>
          </cell>
          <cell r="AB33">
            <v>666400</v>
          </cell>
          <cell r="AC33">
            <v>493629.62962962961</v>
          </cell>
          <cell r="AE33">
            <v>2063.4899999999998</v>
          </cell>
          <cell r="AF33">
            <v>2063.4899999999998</v>
          </cell>
          <cell r="AG33">
            <v>2600</v>
          </cell>
          <cell r="AH33">
            <v>1925.9259259259259</v>
          </cell>
          <cell r="AJ33">
            <v>680800</v>
          </cell>
          <cell r="AK33">
            <v>680800</v>
          </cell>
          <cell r="AL33">
            <v>539911.83000000007</v>
          </cell>
          <cell r="AM33">
            <v>539911.83000000007</v>
          </cell>
          <cell r="AN33">
            <v>504296.29629629629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</row>
        <row r="34">
          <cell r="A34" t="str">
            <v>NDS</v>
          </cell>
          <cell r="B34" t="str">
            <v>Nordisk Melasse AS</v>
          </cell>
          <cell r="C34" t="str">
            <v>DKK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NED</v>
          </cell>
          <cell r="B35" t="str">
            <v>Nedlansche Melasse Handel Maat</v>
          </cell>
          <cell r="C35" t="str">
            <v>EUR</v>
          </cell>
          <cell r="E35">
            <v>998015.87</v>
          </cell>
          <cell r="F35">
            <v>998015.87</v>
          </cell>
          <cell r="G35">
            <v>1257500</v>
          </cell>
          <cell r="H35">
            <v>931481.48148148146</v>
          </cell>
          <cell r="J35">
            <v>998015.87</v>
          </cell>
          <cell r="K35">
            <v>998015.87</v>
          </cell>
          <cell r="M35">
            <v>8975967.6500000004</v>
          </cell>
          <cell r="N35">
            <v>8975967.6500000004</v>
          </cell>
          <cell r="O35">
            <v>11314500</v>
          </cell>
          <cell r="P35">
            <v>8381111.111111111</v>
          </cell>
          <cell r="R35">
            <v>8975967.6500000004</v>
          </cell>
          <cell r="S35">
            <v>8975967.6500000004</v>
          </cell>
          <cell r="U35">
            <v>160634.92000000001</v>
          </cell>
          <cell r="V35">
            <v>160634.92000000001</v>
          </cell>
          <cell r="W35">
            <v>202400</v>
          </cell>
          <cell r="X35">
            <v>149925.92592592593</v>
          </cell>
          <cell r="Z35">
            <v>1481084.14</v>
          </cell>
          <cell r="AA35">
            <v>1481084.14</v>
          </cell>
          <cell r="AB35">
            <v>1867200</v>
          </cell>
          <cell r="AC35">
            <v>1383111.111111111</v>
          </cell>
          <cell r="AE35">
            <v>161428.57</v>
          </cell>
          <cell r="AF35">
            <v>161428.57</v>
          </cell>
          <cell r="AG35">
            <v>203400</v>
          </cell>
          <cell r="AH35">
            <v>150666.66666666666</v>
          </cell>
          <cell r="AJ35">
            <v>1920700</v>
          </cell>
          <cell r="AK35">
            <v>1920700</v>
          </cell>
          <cell r="AL35">
            <v>1523540.01</v>
          </cell>
          <cell r="AM35">
            <v>1523540.01</v>
          </cell>
          <cell r="AN35">
            <v>1422740.7407407407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 t="str">
            <v>PRE</v>
          </cell>
          <cell r="B36" t="str">
            <v>Premier Molasses Company Ltd</v>
          </cell>
          <cell r="C36" t="str">
            <v>EUR</v>
          </cell>
          <cell r="E36">
            <v>790873.02</v>
          </cell>
          <cell r="F36">
            <v>790873.02</v>
          </cell>
          <cell r="G36">
            <v>996500</v>
          </cell>
          <cell r="H36">
            <v>738148.14814814809</v>
          </cell>
          <cell r="J36">
            <v>790873.02</v>
          </cell>
          <cell r="K36">
            <v>790873.02</v>
          </cell>
          <cell r="M36">
            <v>5789255.9199999999</v>
          </cell>
          <cell r="N36">
            <v>5789255.9199999999</v>
          </cell>
          <cell r="O36">
            <v>7296500</v>
          </cell>
          <cell r="P36">
            <v>5404814.8148148144</v>
          </cell>
          <cell r="R36">
            <v>5789255.9199999999</v>
          </cell>
          <cell r="S36">
            <v>5789255.9199999999</v>
          </cell>
          <cell r="U36">
            <v>123015.87</v>
          </cell>
          <cell r="V36">
            <v>123015.87</v>
          </cell>
          <cell r="W36">
            <v>155000</v>
          </cell>
          <cell r="X36">
            <v>114814.8148148148</v>
          </cell>
          <cell r="Z36">
            <v>1293739.6399999999</v>
          </cell>
          <cell r="AA36">
            <v>1293739.6399999999</v>
          </cell>
          <cell r="AB36">
            <v>1631000</v>
          </cell>
          <cell r="AC36">
            <v>1208148.1481481481</v>
          </cell>
          <cell r="AE36">
            <v>124603.17</v>
          </cell>
          <cell r="AF36">
            <v>124603.17</v>
          </cell>
          <cell r="AG36">
            <v>157000</v>
          </cell>
          <cell r="AH36">
            <v>116296.29629629629</v>
          </cell>
          <cell r="AJ36">
            <v>1649500</v>
          </cell>
          <cell r="AK36">
            <v>1649500</v>
          </cell>
          <cell r="AL36">
            <v>1308414.5699999998</v>
          </cell>
          <cell r="AM36">
            <v>1308414.5699999998</v>
          </cell>
          <cell r="AN36">
            <v>1221851.8518518517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SEM</v>
          </cell>
          <cell r="B37" t="str">
            <v>Societe Europeenne des Melasse Co</v>
          </cell>
          <cell r="C37" t="str">
            <v>EUR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-4200</v>
          </cell>
          <cell r="AK37">
            <v>-4200</v>
          </cell>
          <cell r="AL37">
            <v>-3329.78</v>
          </cell>
          <cell r="AM37">
            <v>-3329.78</v>
          </cell>
          <cell r="AN37">
            <v>-3111.1111111111109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 t="str">
            <v>SEMADJ</v>
          </cell>
          <cell r="B38" t="str">
            <v>SEM adj co</v>
          </cell>
          <cell r="C38" t="str">
            <v>EUR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 t="str">
            <v>TAM</v>
          </cell>
          <cell r="B39" t="str">
            <v>Tankinstallation de Melasse Co</v>
          </cell>
          <cell r="C39" t="str">
            <v>EUR</v>
          </cell>
          <cell r="E39">
            <v>843888.89</v>
          </cell>
          <cell r="F39">
            <v>843888.89</v>
          </cell>
          <cell r="G39">
            <v>1063300</v>
          </cell>
          <cell r="H39">
            <v>787629.62962962955</v>
          </cell>
          <cell r="J39">
            <v>843888.89</v>
          </cell>
          <cell r="K39">
            <v>843888.89</v>
          </cell>
          <cell r="M39">
            <v>8945670.8200000003</v>
          </cell>
          <cell r="N39">
            <v>8945670.8200000003</v>
          </cell>
          <cell r="O39">
            <v>11276000</v>
          </cell>
          <cell r="P39">
            <v>8352592.5925925924</v>
          </cell>
          <cell r="R39">
            <v>8945670.8200000003</v>
          </cell>
          <cell r="S39">
            <v>8945670.8200000003</v>
          </cell>
          <cell r="U39">
            <v>-36507.93</v>
          </cell>
          <cell r="V39">
            <v>-36507.93</v>
          </cell>
          <cell r="W39">
            <v>-46000</v>
          </cell>
          <cell r="X39">
            <v>-34074.074074074073</v>
          </cell>
          <cell r="Z39">
            <v>1885358.66</v>
          </cell>
          <cell r="AA39">
            <v>1885358.66</v>
          </cell>
          <cell r="AB39">
            <v>2376300</v>
          </cell>
          <cell r="AC39">
            <v>1760222.222222222</v>
          </cell>
          <cell r="AE39">
            <v>-35079.360000000001</v>
          </cell>
          <cell r="AF39">
            <v>-35079.360000000001</v>
          </cell>
          <cell r="AG39">
            <v>-44200</v>
          </cell>
          <cell r="AH39">
            <v>-32740.740740740737</v>
          </cell>
          <cell r="AJ39">
            <v>2392800</v>
          </cell>
          <cell r="AK39">
            <v>2392800</v>
          </cell>
          <cell r="AL39">
            <v>1898440.14</v>
          </cell>
          <cell r="AM39">
            <v>1898440.14</v>
          </cell>
          <cell r="AN39">
            <v>1772444.4444444443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 t="str">
            <v>TLP</v>
          </cell>
          <cell r="B40" t="str">
            <v>Tate &amp; Lyle Portugal Ltd</v>
          </cell>
          <cell r="C40" t="str">
            <v>EUR</v>
          </cell>
          <cell r="E40">
            <v>50793.65</v>
          </cell>
          <cell r="F40">
            <v>50793.65</v>
          </cell>
          <cell r="G40">
            <v>64000</v>
          </cell>
          <cell r="H40">
            <v>47407.407407407401</v>
          </cell>
          <cell r="J40">
            <v>50793.65</v>
          </cell>
          <cell r="K40">
            <v>50793.65</v>
          </cell>
          <cell r="M40">
            <v>666153.04</v>
          </cell>
          <cell r="N40">
            <v>666153.04</v>
          </cell>
          <cell r="O40">
            <v>839800</v>
          </cell>
          <cell r="P40">
            <v>622074.07407407404</v>
          </cell>
          <cell r="R40">
            <v>666153.04</v>
          </cell>
          <cell r="S40">
            <v>666153.04</v>
          </cell>
          <cell r="U40">
            <v>12301.58</v>
          </cell>
          <cell r="V40">
            <v>12301.58</v>
          </cell>
          <cell r="W40">
            <v>15500</v>
          </cell>
          <cell r="X40">
            <v>11481.48148148148</v>
          </cell>
          <cell r="Z40">
            <v>130180.67</v>
          </cell>
          <cell r="AA40">
            <v>130180.67</v>
          </cell>
          <cell r="AB40">
            <v>164100</v>
          </cell>
          <cell r="AC40">
            <v>121555.55555555555</v>
          </cell>
          <cell r="AE40">
            <v>12619.039999999999</v>
          </cell>
          <cell r="AF40">
            <v>12619.039999999999</v>
          </cell>
          <cell r="AG40">
            <v>15900</v>
          </cell>
          <cell r="AH40">
            <v>11777.777777777777</v>
          </cell>
          <cell r="AJ40">
            <v>170900</v>
          </cell>
          <cell r="AK40">
            <v>170900</v>
          </cell>
          <cell r="AL40">
            <v>135573.82999999999</v>
          </cell>
          <cell r="AM40">
            <v>135573.82999999999</v>
          </cell>
          <cell r="AN40">
            <v>126592.59259259258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 t="str">
            <v>UFM</v>
          </cell>
          <cell r="B41" t="str">
            <v>UM Feeds marketing</v>
          </cell>
          <cell r="C41" t="str">
            <v>GBP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 t="str">
            <v>ULS</v>
          </cell>
          <cell r="B42" t="str">
            <v>ULS</v>
          </cell>
          <cell r="C42" t="str">
            <v>EUR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</row>
        <row r="43">
          <cell r="A43" t="str">
            <v>UME</v>
          </cell>
          <cell r="B43" t="str">
            <v>United Molasses Espana SA</v>
          </cell>
          <cell r="C43" t="str">
            <v>EUR</v>
          </cell>
          <cell r="E43">
            <v>721111.11</v>
          </cell>
          <cell r="F43">
            <v>721111.11</v>
          </cell>
          <cell r="G43">
            <v>908600</v>
          </cell>
          <cell r="H43">
            <v>673037.03703703696</v>
          </cell>
          <cell r="J43">
            <v>721111.11</v>
          </cell>
          <cell r="K43">
            <v>721111.11</v>
          </cell>
          <cell r="M43">
            <v>9203486.4299999997</v>
          </cell>
          <cell r="N43">
            <v>9203486.4299999997</v>
          </cell>
          <cell r="O43">
            <v>11601200</v>
          </cell>
          <cell r="P43">
            <v>8593481.4814814813</v>
          </cell>
          <cell r="R43">
            <v>9203486.4299999997</v>
          </cell>
          <cell r="S43">
            <v>9203486.4299999997</v>
          </cell>
          <cell r="U43">
            <v>29682.54</v>
          </cell>
          <cell r="V43">
            <v>29682.54</v>
          </cell>
          <cell r="W43">
            <v>37400</v>
          </cell>
          <cell r="X43">
            <v>27703.703703703701</v>
          </cell>
          <cell r="Z43">
            <v>524743.98</v>
          </cell>
          <cell r="AA43">
            <v>524743.98</v>
          </cell>
          <cell r="AB43">
            <v>661000</v>
          </cell>
          <cell r="AC43">
            <v>489629.62962962961</v>
          </cell>
          <cell r="AE43">
            <v>30079.370000000003</v>
          </cell>
          <cell r="AF43">
            <v>30079.370000000003</v>
          </cell>
          <cell r="AG43">
            <v>37900</v>
          </cell>
          <cell r="AH43">
            <v>28074.074074074073</v>
          </cell>
          <cell r="AJ43">
            <v>673200</v>
          </cell>
          <cell r="AK43">
            <v>673200</v>
          </cell>
          <cell r="AL43">
            <v>534420.88</v>
          </cell>
          <cell r="AM43">
            <v>534420.88</v>
          </cell>
          <cell r="AN43">
            <v>498666.66666666663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</row>
        <row r="44">
          <cell r="A44" t="str">
            <v>UMI</v>
          </cell>
          <cell r="B44" t="str">
            <v>United Molasses (Ireland)</v>
          </cell>
          <cell r="C44" t="str">
            <v>GBP</v>
          </cell>
          <cell r="E44">
            <v>518000</v>
          </cell>
          <cell r="F44">
            <v>518000</v>
          </cell>
          <cell r="G44">
            <v>518000</v>
          </cell>
          <cell r="H44">
            <v>518000</v>
          </cell>
          <cell r="J44">
            <v>518000</v>
          </cell>
          <cell r="K44">
            <v>518000</v>
          </cell>
          <cell r="M44">
            <v>7156000</v>
          </cell>
          <cell r="N44">
            <v>7156000</v>
          </cell>
          <cell r="O44">
            <v>7156000</v>
          </cell>
          <cell r="P44">
            <v>7156000</v>
          </cell>
          <cell r="R44">
            <v>7156000</v>
          </cell>
          <cell r="S44">
            <v>7156000</v>
          </cell>
          <cell r="U44">
            <v>48000</v>
          </cell>
          <cell r="V44">
            <v>48000</v>
          </cell>
          <cell r="W44">
            <v>48000</v>
          </cell>
          <cell r="X44">
            <v>48000</v>
          </cell>
          <cell r="Z44">
            <v>1424000</v>
          </cell>
          <cell r="AA44">
            <v>1424000</v>
          </cell>
          <cell r="AB44">
            <v>1424000</v>
          </cell>
          <cell r="AC44">
            <v>1424000</v>
          </cell>
          <cell r="AE44">
            <v>45000</v>
          </cell>
          <cell r="AF44">
            <v>45000</v>
          </cell>
          <cell r="AG44">
            <v>45000</v>
          </cell>
          <cell r="AH44">
            <v>45000</v>
          </cell>
          <cell r="AJ44">
            <v>1438000</v>
          </cell>
          <cell r="AK44">
            <v>1438000</v>
          </cell>
          <cell r="AL44">
            <v>1438000</v>
          </cell>
          <cell r="AM44">
            <v>1438000</v>
          </cell>
          <cell r="AN44">
            <v>1438000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A45" t="str">
            <v>UMK</v>
          </cell>
          <cell r="B45" t="str">
            <v>UM (UK)</v>
          </cell>
          <cell r="C45" t="str">
            <v>GBP</v>
          </cell>
          <cell r="E45">
            <v>2603000</v>
          </cell>
          <cell r="F45">
            <v>2603000</v>
          </cell>
          <cell r="G45">
            <v>2603000</v>
          </cell>
          <cell r="H45">
            <v>2603000</v>
          </cell>
          <cell r="J45">
            <v>2603000</v>
          </cell>
          <cell r="K45">
            <v>2603000</v>
          </cell>
          <cell r="M45">
            <v>33663000</v>
          </cell>
          <cell r="N45">
            <v>33663000</v>
          </cell>
          <cell r="O45">
            <v>33663000</v>
          </cell>
          <cell r="P45">
            <v>33663000</v>
          </cell>
          <cell r="R45">
            <v>33663000</v>
          </cell>
          <cell r="S45">
            <v>33663000</v>
          </cell>
          <cell r="U45">
            <v>137400</v>
          </cell>
          <cell r="V45">
            <v>137400</v>
          </cell>
          <cell r="W45">
            <v>137400</v>
          </cell>
          <cell r="X45">
            <v>137400</v>
          </cell>
          <cell r="Z45">
            <v>477100</v>
          </cell>
          <cell r="AA45">
            <v>477100</v>
          </cell>
          <cell r="AB45">
            <v>477100</v>
          </cell>
          <cell r="AC45">
            <v>477100</v>
          </cell>
          <cell r="AE45">
            <v>186500</v>
          </cell>
          <cell r="AF45">
            <v>186500</v>
          </cell>
          <cell r="AG45">
            <v>186500</v>
          </cell>
          <cell r="AH45">
            <v>186500</v>
          </cell>
          <cell r="AJ45">
            <v>1066500</v>
          </cell>
          <cell r="AK45">
            <v>1066500</v>
          </cell>
          <cell r="AL45">
            <v>1066500</v>
          </cell>
          <cell r="AM45">
            <v>1066500</v>
          </cell>
          <cell r="AN45">
            <v>1066500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</row>
        <row r="46">
          <cell r="A46" t="str">
            <v>UMP</v>
          </cell>
          <cell r="B46" t="str">
            <v>United Molasses Purchasing</v>
          </cell>
          <cell r="C46" t="str">
            <v>GBP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A47" t="str">
            <v>UNS</v>
          </cell>
          <cell r="B47" t="str">
            <v>United Storage UK</v>
          </cell>
          <cell r="C47" t="str">
            <v>GBP</v>
          </cell>
          <cell r="E47">
            <v>1149600</v>
          </cell>
          <cell r="F47">
            <v>1149600</v>
          </cell>
          <cell r="G47">
            <v>1149600</v>
          </cell>
          <cell r="H47">
            <v>1149600</v>
          </cell>
          <cell r="J47">
            <v>1149600</v>
          </cell>
          <cell r="K47">
            <v>1149600</v>
          </cell>
          <cell r="M47">
            <v>13876200</v>
          </cell>
          <cell r="N47">
            <v>13876200</v>
          </cell>
          <cell r="O47">
            <v>13876200</v>
          </cell>
          <cell r="P47">
            <v>13876200</v>
          </cell>
          <cell r="R47">
            <v>13876200</v>
          </cell>
          <cell r="S47">
            <v>13876200</v>
          </cell>
          <cell r="U47">
            <v>710700</v>
          </cell>
          <cell r="V47">
            <v>710700</v>
          </cell>
          <cell r="W47">
            <v>710700</v>
          </cell>
          <cell r="X47">
            <v>710700</v>
          </cell>
          <cell r="Z47">
            <v>3815800</v>
          </cell>
          <cell r="AA47">
            <v>3815800</v>
          </cell>
          <cell r="AB47">
            <v>3815800</v>
          </cell>
          <cell r="AC47">
            <v>3815800</v>
          </cell>
          <cell r="AE47">
            <v>737900</v>
          </cell>
          <cell r="AF47">
            <v>737900</v>
          </cell>
          <cell r="AG47">
            <v>737900</v>
          </cell>
          <cell r="AH47">
            <v>737900</v>
          </cell>
          <cell r="AJ47">
            <v>4149900</v>
          </cell>
          <cell r="AK47">
            <v>4149900</v>
          </cell>
          <cell r="AL47">
            <v>4149900</v>
          </cell>
          <cell r="AM47">
            <v>4149900</v>
          </cell>
          <cell r="AN47">
            <v>4149900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A48" t="str">
            <v>CAM</v>
          </cell>
          <cell r="B48" t="str">
            <v>Caribbean Antillies Molasses Co</v>
          </cell>
          <cell r="C48" t="str">
            <v>USD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A49" t="str">
            <v>CBS</v>
          </cell>
          <cell r="B49" t="str">
            <v>Caribbean Bulk Stroage &amp; Trading</v>
          </cell>
          <cell r="C49" t="str">
            <v>TTD</v>
          </cell>
          <cell r="E49">
            <v>88097.31</v>
          </cell>
          <cell r="F49">
            <v>88097.31</v>
          </cell>
          <cell r="G49">
            <v>1014000</v>
          </cell>
          <cell r="H49">
            <v>81454.707166311244</v>
          </cell>
          <cell r="J49">
            <v>88097.31</v>
          </cell>
          <cell r="K49">
            <v>88097.31</v>
          </cell>
          <cell r="M49">
            <v>1198603.6499999999</v>
          </cell>
          <cell r="N49">
            <v>1198603.6499999999</v>
          </cell>
          <cell r="O49">
            <v>14104000</v>
          </cell>
          <cell r="P49">
            <v>1132975.5324197768</v>
          </cell>
          <cell r="R49">
            <v>1198603.6499999999</v>
          </cell>
          <cell r="S49">
            <v>1198603.6499999999</v>
          </cell>
          <cell r="U49">
            <v>434.4</v>
          </cell>
          <cell r="V49">
            <v>434.4</v>
          </cell>
          <cell r="W49">
            <v>5000</v>
          </cell>
          <cell r="X49">
            <v>401.65042981415797</v>
          </cell>
          <cell r="Z49">
            <v>162965.76000000001</v>
          </cell>
          <cell r="AA49">
            <v>162965.76000000001</v>
          </cell>
          <cell r="AB49">
            <v>1901000</v>
          </cell>
          <cell r="AC49">
            <v>152707.49341534288</v>
          </cell>
          <cell r="AE49">
            <v>1476.9699999999998</v>
          </cell>
          <cell r="AF49">
            <v>1476.9699999999998</v>
          </cell>
          <cell r="AG49">
            <v>17000</v>
          </cell>
          <cell r="AH49">
            <v>1365.6114613681373</v>
          </cell>
          <cell r="AJ49">
            <v>2045000</v>
          </cell>
          <cell r="AK49">
            <v>2045000</v>
          </cell>
          <cell r="AL49">
            <v>175321.65000000002</v>
          </cell>
          <cell r="AM49">
            <v>175321.65000000002</v>
          </cell>
          <cell r="AN49">
            <v>164275.02579399062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A50" t="str">
            <v>CMC</v>
          </cell>
          <cell r="B50" t="str">
            <v>Caribbean Molasses Company Ltd</v>
          </cell>
          <cell r="C50" t="str">
            <v>GYD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A51" t="str">
            <v>KOR</v>
          </cell>
          <cell r="B51" t="str">
            <v>UM Korea</v>
          </cell>
          <cell r="C51" t="str">
            <v>KRW</v>
          </cell>
          <cell r="E51">
            <v>1104324.3</v>
          </cell>
          <cell r="F51">
            <v>1104324.3</v>
          </cell>
          <cell r="G51">
            <v>2131345900</v>
          </cell>
          <cell r="H51">
            <v>1135723.3315838608</v>
          </cell>
          <cell r="J51">
            <v>1104324.3</v>
          </cell>
          <cell r="K51">
            <v>1104324.3</v>
          </cell>
          <cell r="M51">
            <v>11782407</v>
          </cell>
          <cell r="N51">
            <v>11782407</v>
          </cell>
          <cell r="O51">
            <v>23124386300</v>
          </cell>
          <cell r="P51">
            <v>12322216.234102679</v>
          </cell>
          <cell r="R51">
            <v>11782407</v>
          </cell>
          <cell r="S51">
            <v>11782407</v>
          </cell>
          <cell r="U51">
            <v>36602.639999999999</v>
          </cell>
          <cell r="V51">
            <v>36602.639999999999</v>
          </cell>
          <cell r="W51">
            <v>70643100</v>
          </cell>
          <cell r="X51">
            <v>37643.358070321592</v>
          </cell>
          <cell r="Z51">
            <v>510186.5</v>
          </cell>
          <cell r="AA51">
            <v>510186.5</v>
          </cell>
          <cell r="AB51">
            <v>1001951700</v>
          </cell>
          <cell r="AC51">
            <v>533906.73133352643</v>
          </cell>
          <cell r="AE51">
            <v>36602.639999999999</v>
          </cell>
          <cell r="AF51">
            <v>36602.639999999999</v>
          </cell>
          <cell r="AG51">
            <v>70643100</v>
          </cell>
          <cell r="AH51">
            <v>37643.358070321592</v>
          </cell>
          <cell r="AJ51">
            <v>1013735700</v>
          </cell>
          <cell r="AK51">
            <v>1013735700</v>
          </cell>
          <cell r="AL51">
            <v>516113.41</v>
          </cell>
          <cell r="AM51">
            <v>516113.41</v>
          </cell>
          <cell r="AN51">
            <v>540186.03294261021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A52" t="str">
            <v>MMC</v>
          </cell>
          <cell r="B52" t="str">
            <v>Mauritius Molasses Company Ltd</v>
          </cell>
          <cell r="C52" t="str">
            <v>MUR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  <cell r="K52">
            <v>0</v>
          </cell>
          <cell r="M52">
            <v>3107867.23</v>
          </cell>
          <cell r="N52">
            <v>3107867.23</v>
          </cell>
          <cell r="O52">
            <v>154807000</v>
          </cell>
          <cell r="P52">
            <v>2810369.2854323802</v>
          </cell>
          <cell r="R52">
            <v>3107867.23</v>
          </cell>
          <cell r="S52">
            <v>3107867.23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-6404.18</v>
          </cell>
          <cell r="AA52">
            <v>-6404.18</v>
          </cell>
          <cell r="AB52">
            <v>-319000</v>
          </cell>
          <cell r="AC52">
            <v>-5791.132197206387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565000</v>
          </cell>
          <cell r="AK52">
            <v>565000</v>
          </cell>
          <cell r="AL52">
            <v>11342.79</v>
          </cell>
          <cell r="AM52">
            <v>11342.79</v>
          </cell>
          <cell r="AN52">
            <v>10257.020976243288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 t="str">
            <v>PCM</v>
          </cell>
          <cell r="B53" t="str">
            <v>The Pure Cane molasses Co</v>
          </cell>
          <cell r="C53" t="str">
            <v>ZAR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A54" t="str">
            <v>PHI</v>
          </cell>
          <cell r="B54" t="str">
            <v>United Molasses Co (Phils) Inc</v>
          </cell>
          <cell r="C54" t="str">
            <v>PHP</v>
          </cell>
          <cell r="E54">
            <v>448132.94</v>
          </cell>
          <cell r="F54">
            <v>448132.94</v>
          </cell>
          <cell r="G54">
            <v>37428000</v>
          </cell>
          <cell r="H54">
            <v>464952.60136930709</v>
          </cell>
          <cell r="J54">
            <v>448132.94</v>
          </cell>
          <cell r="K54">
            <v>448132.94</v>
          </cell>
          <cell r="M54">
            <v>7944378.5800000001</v>
          </cell>
          <cell r="N54">
            <v>7944378.5800000001</v>
          </cell>
          <cell r="O54">
            <v>670063000</v>
          </cell>
          <cell r="P54">
            <v>8323916.1839083573</v>
          </cell>
          <cell r="R54">
            <v>7944378.5800000001</v>
          </cell>
          <cell r="S54">
            <v>7944378.5800000001</v>
          </cell>
          <cell r="U54">
            <v>4082.86</v>
          </cell>
          <cell r="V54">
            <v>4082.86</v>
          </cell>
          <cell r="W54">
            <v>341000</v>
          </cell>
          <cell r="X54">
            <v>4236.1023048769293</v>
          </cell>
          <cell r="Z54">
            <v>113926.47</v>
          </cell>
          <cell r="AA54">
            <v>113926.47</v>
          </cell>
          <cell r="AB54">
            <v>9698000</v>
          </cell>
          <cell r="AC54">
            <v>120474.2526472037</v>
          </cell>
          <cell r="AE54">
            <v>4130.75</v>
          </cell>
          <cell r="AF54">
            <v>4130.75</v>
          </cell>
          <cell r="AG54">
            <v>345000</v>
          </cell>
          <cell r="AH54">
            <v>4285.7926544942538</v>
          </cell>
          <cell r="AJ54">
            <v>9722000</v>
          </cell>
          <cell r="AK54">
            <v>9722000</v>
          </cell>
          <cell r="AL54">
            <v>114210.3</v>
          </cell>
          <cell r="AM54">
            <v>114210.3</v>
          </cell>
          <cell r="AN54">
            <v>120772.39474490764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A55" t="str">
            <v>MOH</v>
          </cell>
          <cell r="B55" t="str">
            <v>Molasses Overheads</v>
          </cell>
          <cell r="C55" t="str">
            <v>GBP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-251700</v>
          </cell>
          <cell r="V55">
            <v>-251700</v>
          </cell>
          <cell r="W55">
            <v>-251700</v>
          </cell>
          <cell r="X55">
            <v>-251700</v>
          </cell>
          <cell r="Z55">
            <v>-2885100</v>
          </cell>
          <cell r="AA55">
            <v>-2885100</v>
          </cell>
          <cell r="AB55">
            <v>-2885100</v>
          </cell>
          <cell r="AC55">
            <v>-2885100</v>
          </cell>
          <cell r="AE55">
            <v>-157500</v>
          </cell>
          <cell r="AF55">
            <v>-157500</v>
          </cell>
          <cell r="AG55">
            <v>-157500</v>
          </cell>
          <cell r="AH55">
            <v>-157500</v>
          </cell>
          <cell r="AJ55">
            <v>-1547300</v>
          </cell>
          <cell r="AK55">
            <v>-1547300</v>
          </cell>
          <cell r="AL55">
            <v>-1547300</v>
          </cell>
          <cell r="AM55">
            <v>-1547300</v>
          </cell>
          <cell r="AN55">
            <v>-1547300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U55">
            <v>-60900</v>
          </cell>
          <cell r="AV55">
            <v>-60900</v>
          </cell>
          <cell r="AW55">
            <v>4367400</v>
          </cell>
          <cell r="AX55">
            <v>4367400</v>
          </cell>
        </row>
        <row r="56">
          <cell r="A56" t="str">
            <v>MTD</v>
          </cell>
          <cell r="B56" t="str">
            <v>Molasses Trading Desk</v>
          </cell>
          <cell r="C56" t="str">
            <v>USD</v>
          </cell>
          <cell r="E56">
            <v>12712432.43</v>
          </cell>
          <cell r="F56">
            <v>12712432.43</v>
          </cell>
          <cell r="G56">
            <v>23518000</v>
          </cell>
          <cell r="H56">
            <v>11998979.591836736</v>
          </cell>
          <cell r="J56">
            <v>12712432.43</v>
          </cell>
          <cell r="K56">
            <v>12712432.43</v>
          </cell>
          <cell r="M56">
            <v>148579537.86000001</v>
          </cell>
          <cell r="N56">
            <v>148579537.86000001</v>
          </cell>
          <cell r="O56">
            <v>282289300</v>
          </cell>
          <cell r="P56">
            <v>144025153.06122449</v>
          </cell>
          <cell r="R56">
            <v>148579537.86000001</v>
          </cell>
          <cell r="S56">
            <v>148579537.86000001</v>
          </cell>
          <cell r="U56">
            <v>18054.05</v>
          </cell>
          <cell r="V56">
            <v>18054.05</v>
          </cell>
          <cell r="W56">
            <v>33400</v>
          </cell>
          <cell r="X56">
            <v>17040.816326530614</v>
          </cell>
          <cell r="Z56">
            <v>5165433.3099999996</v>
          </cell>
          <cell r="AA56">
            <v>5165433.3099999996</v>
          </cell>
          <cell r="AB56">
            <v>9794000</v>
          </cell>
          <cell r="AC56">
            <v>4996938.775510204</v>
          </cell>
          <cell r="AE56">
            <v>-60918.92</v>
          </cell>
          <cell r="AF56">
            <v>-60918.92</v>
          </cell>
          <cell r="AG56">
            <v>-112700</v>
          </cell>
          <cell r="AH56">
            <v>-57500</v>
          </cell>
          <cell r="AJ56">
            <v>8079600</v>
          </cell>
          <cell r="AK56">
            <v>8079600</v>
          </cell>
          <cell r="AL56">
            <v>4260896.67</v>
          </cell>
          <cell r="AM56">
            <v>4260896.67</v>
          </cell>
          <cell r="AN56">
            <v>4122244.8979591839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U56">
            <v>60918.92</v>
          </cell>
          <cell r="AV56">
            <v>60918.92</v>
          </cell>
          <cell r="AW56">
            <v>-4260896.67</v>
          </cell>
          <cell r="AX56">
            <v>-4260896.67</v>
          </cell>
        </row>
        <row r="57">
          <cell r="A57" t="str">
            <v>TLET</v>
          </cell>
          <cell r="B57" t="str">
            <v>T&amp;L Ethanol Trading</v>
          </cell>
          <cell r="C57" t="str">
            <v>GBP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A58" t="str">
            <v>UCA</v>
          </cell>
          <cell r="B58" t="str">
            <v>UM Canada</v>
          </cell>
          <cell r="C58" t="str">
            <v>CAD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A59" t="str">
            <v>UMMTOT</v>
          </cell>
          <cell r="B59" t="str">
            <v>UNITED MOLASSES</v>
          </cell>
          <cell r="E59">
            <v>25147079.039999999</v>
          </cell>
          <cell r="F59">
            <v>25147079.039999999</v>
          </cell>
          <cell r="G59">
            <v>0</v>
          </cell>
          <cell r="H59">
            <v>24040302.824548807</v>
          </cell>
          <cell r="J59">
            <v>25147079.039999999</v>
          </cell>
          <cell r="K59">
            <v>25147079.039999999</v>
          </cell>
          <cell r="M59">
            <v>307622427.39999998</v>
          </cell>
          <cell r="N59">
            <v>307622427.40000004</v>
          </cell>
          <cell r="O59">
            <v>0</v>
          </cell>
          <cell r="P59">
            <v>298306459.92671728</v>
          </cell>
          <cell r="R59">
            <v>307622427.39999998</v>
          </cell>
          <cell r="S59">
            <v>307622427.40000004</v>
          </cell>
          <cell r="U59">
            <v>1064446.96</v>
          </cell>
          <cell r="V59">
            <v>1064446.96</v>
          </cell>
          <cell r="W59">
            <v>0</v>
          </cell>
          <cell r="X59">
            <v>1040536.7419463582</v>
          </cell>
          <cell r="Z59">
            <v>17089386.649999999</v>
          </cell>
          <cell r="AA59">
            <v>17089386.649999999</v>
          </cell>
          <cell r="AB59">
            <v>0</v>
          </cell>
          <cell r="AC59">
            <v>16390887.97256092</v>
          </cell>
          <cell r="AE59">
            <v>1153032.7</v>
          </cell>
          <cell r="AF59">
            <v>1153032.7</v>
          </cell>
          <cell r="AG59">
            <v>0</v>
          </cell>
          <cell r="AH59">
            <v>1133546.6140380357</v>
          </cell>
          <cell r="AJ59">
            <v>0</v>
          </cell>
          <cell r="AK59">
            <v>0</v>
          </cell>
          <cell r="AL59">
            <v>18478718.129999999</v>
          </cell>
          <cell r="AM59">
            <v>18478718.129999999</v>
          </cell>
          <cell r="AN59">
            <v>17809094.631676193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U59">
            <v>18.920000000000002</v>
          </cell>
          <cell r="AV59">
            <v>18.919999999998254</v>
          </cell>
          <cell r="AW59">
            <v>106423.63</v>
          </cell>
          <cell r="AX59">
            <v>106423.62999999989</v>
          </cell>
        </row>
        <row r="60">
          <cell r="A60" t="str">
            <v>ISR</v>
          </cell>
          <cell r="B60" t="str">
            <v>T&amp;L Israel</v>
          </cell>
          <cell r="C60" t="str">
            <v>USD</v>
          </cell>
          <cell r="E60">
            <v>3563243.25</v>
          </cell>
          <cell r="F60">
            <v>3563243.25</v>
          </cell>
          <cell r="G60">
            <v>6592000</v>
          </cell>
          <cell r="H60">
            <v>3363265.3061224492</v>
          </cell>
          <cell r="J60">
            <v>3563243.25</v>
          </cell>
          <cell r="K60">
            <v>3563243.25</v>
          </cell>
          <cell r="M60">
            <v>30026431.239999998</v>
          </cell>
          <cell r="N60">
            <v>30026431.239999998</v>
          </cell>
          <cell r="O60">
            <v>56539000</v>
          </cell>
          <cell r="P60">
            <v>28846428.571428571</v>
          </cell>
          <cell r="R60">
            <v>30026431.239999998</v>
          </cell>
          <cell r="S60">
            <v>30026431.239999998</v>
          </cell>
          <cell r="U60">
            <v>-216.22</v>
          </cell>
          <cell r="V60">
            <v>-216.22</v>
          </cell>
          <cell r="W60">
            <v>-400</v>
          </cell>
          <cell r="X60">
            <v>-204.08163265306123</v>
          </cell>
          <cell r="Z60">
            <v>71388.83</v>
          </cell>
          <cell r="AA60">
            <v>71388.83</v>
          </cell>
          <cell r="AB60">
            <v>79200</v>
          </cell>
          <cell r="AC60">
            <v>40408.163265306124</v>
          </cell>
          <cell r="AE60">
            <v>-216.22</v>
          </cell>
          <cell r="AF60">
            <v>-216.22</v>
          </cell>
          <cell r="AG60">
            <v>-400</v>
          </cell>
          <cell r="AH60">
            <v>-204.08163265306123</v>
          </cell>
          <cell r="AJ60">
            <v>229200</v>
          </cell>
          <cell r="AK60">
            <v>229200</v>
          </cell>
          <cell r="AL60">
            <v>148373.10999999999</v>
          </cell>
          <cell r="AM60">
            <v>148373.10999999999</v>
          </cell>
          <cell r="AN60">
            <v>116938.77551020408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</row>
        <row r="61">
          <cell r="A61" t="str">
            <v>TLB</v>
          </cell>
          <cell r="B61" t="str">
            <v>Tate &amp; Lyle Do Brazil</v>
          </cell>
          <cell r="C61" t="str">
            <v>USD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-50810.81</v>
          </cell>
          <cell r="V61">
            <v>-50810.81</v>
          </cell>
          <cell r="W61">
            <v>-94000</v>
          </cell>
          <cell r="X61">
            <v>-47959.183673469386</v>
          </cell>
          <cell r="Z61">
            <v>-973592.01</v>
          </cell>
          <cell r="AA61">
            <v>-973592.01</v>
          </cell>
          <cell r="AB61">
            <v>-1872000</v>
          </cell>
          <cell r="AC61">
            <v>-955102.04081632651</v>
          </cell>
          <cell r="AE61">
            <v>-54054.049999999996</v>
          </cell>
          <cell r="AF61">
            <v>-54054.049999999996</v>
          </cell>
          <cell r="AG61">
            <v>-100000</v>
          </cell>
          <cell r="AH61">
            <v>-51020.408163265311</v>
          </cell>
          <cell r="AJ61">
            <v>-1908000</v>
          </cell>
          <cell r="AK61">
            <v>-1908000</v>
          </cell>
          <cell r="AL61">
            <v>-993051.46</v>
          </cell>
          <cell r="AM61">
            <v>-993051.46</v>
          </cell>
          <cell r="AN61">
            <v>-973469.38775510201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  <row r="62">
          <cell r="A62" t="str">
            <v>TLG</v>
          </cell>
          <cell r="B62" t="str">
            <v>T&amp;L Gadot</v>
          </cell>
          <cell r="C62" t="str">
            <v>USD</v>
          </cell>
          <cell r="E62">
            <v>796756.76</v>
          </cell>
          <cell r="F62">
            <v>796756.76</v>
          </cell>
          <cell r="G62">
            <v>1474000</v>
          </cell>
          <cell r="H62">
            <v>752040.81632653065</v>
          </cell>
          <cell r="J62">
            <v>796756.76</v>
          </cell>
          <cell r="K62">
            <v>796756.76</v>
          </cell>
          <cell r="M62">
            <v>3619479.59</v>
          </cell>
          <cell r="N62">
            <v>3619479.59</v>
          </cell>
          <cell r="O62">
            <v>6716500</v>
          </cell>
          <cell r="P62">
            <v>3426785.7142857146</v>
          </cell>
          <cell r="R62">
            <v>3619479.59</v>
          </cell>
          <cell r="S62">
            <v>3619479.59</v>
          </cell>
          <cell r="U62">
            <v>716648.64</v>
          </cell>
          <cell r="V62">
            <v>716648.64</v>
          </cell>
          <cell r="W62">
            <v>1325800</v>
          </cell>
          <cell r="X62">
            <v>676428.57142857148</v>
          </cell>
          <cell r="Z62">
            <v>1297010.33</v>
          </cell>
          <cell r="AA62">
            <v>1297010.33</v>
          </cell>
          <cell r="AB62">
            <v>2496500</v>
          </cell>
          <cell r="AC62">
            <v>1273724.4897959183</v>
          </cell>
          <cell r="AE62">
            <v>683513.51</v>
          </cell>
          <cell r="AF62">
            <v>683513.51</v>
          </cell>
          <cell r="AG62">
            <v>1264500</v>
          </cell>
          <cell r="AH62">
            <v>645153.06122448982</v>
          </cell>
          <cell r="AJ62">
            <v>1559400</v>
          </cell>
          <cell r="AK62">
            <v>1559400</v>
          </cell>
          <cell r="AL62">
            <v>805163.05</v>
          </cell>
          <cell r="AM62">
            <v>805163.05</v>
          </cell>
          <cell r="AN62">
            <v>795612.24489795917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</row>
        <row r="63">
          <cell r="A63" t="str">
            <v>TLI</v>
          </cell>
          <cell r="B63" t="str">
            <v>Tate &amp; Lyle International</v>
          </cell>
          <cell r="C63" t="str">
            <v>USD</v>
          </cell>
          <cell r="E63">
            <v>57568648.649999999</v>
          </cell>
          <cell r="F63">
            <v>57568648.649999999</v>
          </cell>
          <cell r="G63">
            <v>106502000</v>
          </cell>
          <cell r="H63">
            <v>54337755.10204082</v>
          </cell>
          <cell r="J63">
            <v>57568648.649999999</v>
          </cell>
          <cell r="K63">
            <v>57568648.649999999</v>
          </cell>
          <cell r="M63">
            <v>778456198.86000001</v>
          </cell>
          <cell r="N63">
            <v>778456198.86000001</v>
          </cell>
          <cell r="O63">
            <v>1480334000</v>
          </cell>
          <cell r="P63">
            <v>755272448.97959185</v>
          </cell>
          <cell r="R63">
            <v>778456198.86000001</v>
          </cell>
          <cell r="S63">
            <v>778456198.86000001</v>
          </cell>
          <cell r="U63">
            <v>50810.81</v>
          </cell>
          <cell r="V63">
            <v>50810.81</v>
          </cell>
          <cell r="W63">
            <v>94000</v>
          </cell>
          <cell r="X63">
            <v>47959.183673469386</v>
          </cell>
          <cell r="Z63">
            <v>7940416.5499999998</v>
          </cell>
          <cell r="AA63">
            <v>7940416.5499999998</v>
          </cell>
          <cell r="AB63">
            <v>15624800</v>
          </cell>
          <cell r="AC63">
            <v>7971836.7346938774</v>
          </cell>
          <cell r="AE63">
            <v>50810.81</v>
          </cell>
          <cell r="AF63">
            <v>50810.81</v>
          </cell>
          <cell r="AG63">
            <v>94000</v>
          </cell>
          <cell r="AH63">
            <v>47959.183673469386</v>
          </cell>
          <cell r="AJ63">
            <v>15939000</v>
          </cell>
          <cell r="AK63">
            <v>15939000</v>
          </cell>
          <cell r="AL63">
            <v>8087968.3100000005</v>
          </cell>
          <cell r="AM63">
            <v>8087968.3100000005</v>
          </cell>
          <cell r="AN63">
            <v>8132142.8571428573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U63">
            <v>-50810.81</v>
          </cell>
          <cell r="AV63">
            <v>-50810.81</v>
          </cell>
          <cell r="AW63">
            <v>-8087968.3099999996</v>
          </cell>
          <cell r="AX63">
            <v>-8087968.3099999996</v>
          </cell>
        </row>
        <row r="64">
          <cell r="A64" t="str">
            <v>TOH</v>
          </cell>
          <cell r="B64" t="str">
            <v>TLI overheads</v>
          </cell>
          <cell r="C64" t="str">
            <v>GBP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-27100</v>
          </cell>
          <cell r="V64">
            <v>-27100</v>
          </cell>
          <cell r="W64">
            <v>-27100</v>
          </cell>
          <cell r="X64">
            <v>-27100</v>
          </cell>
          <cell r="Z64">
            <v>-2451900</v>
          </cell>
          <cell r="AA64">
            <v>-2451900</v>
          </cell>
          <cell r="AB64">
            <v>-2451900</v>
          </cell>
          <cell r="AC64">
            <v>-2451900</v>
          </cell>
          <cell r="AE64">
            <v>-188200</v>
          </cell>
          <cell r="AF64">
            <v>-188200</v>
          </cell>
          <cell r="AG64">
            <v>-188200</v>
          </cell>
          <cell r="AH64">
            <v>-188200</v>
          </cell>
          <cell r="AJ64">
            <v>-4387500</v>
          </cell>
          <cell r="AK64">
            <v>-4387500</v>
          </cell>
          <cell r="AL64">
            <v>-4387500</v>
          </cell>
          <cell r="AM64">
            <v>-4387500</v>
          </cell>
          <cell r="AN64">
            <v>-4387500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U64">
            <v>50900</v>
          </cell>
          <cell r="AV64">
            <v>50900</v>
          </cell>
          <cell r="AW64">
            <v>-8711200</v>
          </cell>
          <cell r="AX64">
            <v>-8711200</v>
          </cell>
        </row>
        <row r="65">
          <cell r="A65" t="str">
            <v>TLITOT</v>
          </cell>
          <cell r="B65" t="str">
            <v>T&amp;L TRADING</v>
          </cell>
          <cell r="C65" t="str">
            <v>GBP</v>
          </cell>
          <cell r="E65">
            <v>57568648.649999999</v>
          </cell>
          <cell r="F65">
            <v>61928648.659999996</v>
          </cell>
          <cell r="G65">
            <v>106502000</v>
          </cell>
          <cell r="H65">
            <v>58453061.224489801</v>
          </cell>
          <cell r="J65">
            <v>57568648.649999999</v>
          </cell>
          <cell r="K65">
            <v>61928648.659999996</v>
          </cell>
          <cell r="M65">
            <v>778456198.86000001</v>
          </cell>
          <cell r="N65">
            <v>812102109.69000006</v>
          </cell>
          <cell r="O65">
            <v>1480334000</v>
          </cell>
          <cell r="P65">
            <v>787545663.26530612</v>
          </cell>
          <cell r="R65">
            <v>778456198.86000001</v>
          </cell>
          <cell r="S65">
            <v>812102109.69000006</v>
          </cell>
          <cell r="U65">
            <v>-27100</v>
          </cell>
          <cell r="V65">
            <v>689332.41999999993</v>
          </cell>
          <cell r="W65">
            <v>0</v>
          </cell>
          <cell r="X65">
            <v>649124.48979591834</v>
          </cell>
          <cell r="Z65">
            <v>4514924.54</v>
          </cell>
          <cell r="AA65">
            <v>5883323.7000000002</v>
          </cell>
          <cell r="AB65">
            <v>0</v>
          </cell>
          <cell r="AC65">
            <v>5878967.3469387759</v>
          </cell>
          <cell r="AE65">
            <v>524989.17999999993</v>
          </cell>
          <cell r="AF65">
            <v>491854.05000000005</v>
          </cell>
          <cell r="AG65">
            <v>68200</v>
          </cell>
          <cell r="AH65">
            <v>453687.75510204083</v>
          </cell>
          <cell r="AJ65">
            <v>6185900</v>
          </cell>
          <cell r="AK65">
            <v>6185900</v>
          </cell>
          <cell r="AL65">
            <v>4075816.0100000002</v>
          </cell>
          <cell r="AM65">
            <v>3660953.0100000007</v>
          </cell>
          <cell r="AN65">
            <v>3683724.4897959186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U65">
            <v>89.19</v>
          </cell>
          <cell r="AV65">
            <v>89.190000000002328</v>
          </cell>
          <cell r="AW65">
            <v>-16799168.309999999</v>
          </cell>
          <cell r="AX65">
            <v>-16799168.309999999</v>
          </cell>
        </row>
        <row r="66">
          <cell r="A66" t="str">
            <v>EUBADJ</v>
          </cell>
          <cell r="C66" t="str">
            <v>EUR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A67" t="str">
            <v>CUK</v>
          </cell>
          <cell r="B67" t="str">
            <v>Cukrspol</v>
          </cell>
          <cell r="C67" t="str">
            <v>CZK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</row>
        <row r="68">
          <cell r="A68" t="str">
            <v>EUBCON</v>
          </cell>
          <cell r="C68" t="str">
            <v>EUR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-793.65</v>
          </cell>
          <cell r="V68">
            <v>-793.65</v>
          </cell>
          <cell r="W68">
            <v>-1000</v>
          </cell>
          <cell r="X68">
            <v>-740.74074074074065</v>
          </cell>
          <cell r="Z68">
            <v>1544941.6600000001</v>
          </cell>
          <cell r="AA68">
            <v>1544941.6600000001</v>
          </cell>
          <cell r="AB68">
            <v>1951500</v>
          </cell>
          <cell r="AC68">
            <v>1445555.5555555555</v>
          </cell>
          <cell r="AE68">
            <v>109523.81000000001</v>
          </cell>
          <cell r="AF68">
            <v>109523.81000000001</v>
          </cell>
          <cell r="AG68">
            <v>138000</v>
          </cell>
          <cell r="AH68">
            <v>102222.22222222222</v>
          </cell>
          <cell r="AJ68">
            <v>5113550</v>
          </cell>
          <cell r="AK68">
            <v>5113550</v>
          </cell>
          <cell r="AL68">
            <v>4053220.3200000003</v>
          </cell>
          <cell r="AM68">
            <v>4053220.3200000003</v>
          </cell>
          <cell r="AN68">
            <v>3787814.8148148144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-1.37</v>
          </cell>
          <cell r="AX68">
            <v>-1.37</v>
          </cell>
        </row>
        <row r="69">
          <cell r="A69" t="str">
            <v>QAZ</v>
          </cell>
          <cell r="B69" t="str">
            <v>QAZ</v>
          </cell>
          <cell r="C69" t="str">
            <v>CZK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A70" t="str">
            <v>ESS</v>
          </cell>
          <cell r="B70" t="str">
            <v>ESS</v>
          </cell>
          <cell r="C70" t="str">
            <v>EUR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</row>
        <row r="71">
          <cell r="A71" t="str">
            <v>SRO</v>
          </cell>
          <cell r="B71" t="str">
            <v>SRO</v>
          </cell>
          <cell r="C71" t="str">
            <v>SKK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A72" t="str">
            <v>ESB</v>
          </cell>
          <cell r="B72" t="str">
            <v>Eastern Sugar</v>
          </cell>
          <cell r="C72" t="str">
            <v>EUR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 t="str">
            <v>ESK</v>
          </cell>
          <cell r="B73" t="str">
            <v>Eastern Sugar KFT</v>
          </cell>
          <cell r="C73" t="str">
            <v>HUF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 t="str">
            <v>HAS</v>
          </cell>
          <cell r="B74" t="str">
            <v>Hana Sugar</v>
          </cell>
          <cell r="C74" t="str">
            <v>CZK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 t="str">
            <v>JUH</v>
          </cell>
          <cell r="B75" t="str">
            <v>Juhocukor</v>
          </cell>
          <cell r="C75" t="str">
            <v>SKK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 t="str">
            <v>KAB</v>
          </cell>
          <cell r="B76" t="str">
            <v>Kaba</v>
          </cell>
          <cell r="C76" t="str">
            <v>HUF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 t="str">
            <v>EUBTOT</v>
          </cell>
          <cell r="B77" t="str">
            <v>EASTER SUGAR (JV)</v>
          </cell>
          <cell r="C77" t="str">
            <v>EUR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-793.65</v>
          </cell>
          <cell r="V77">
            <v>-793.65</v>
          </cell>
          <cell r="W77">
            <v>-1000</v>
          </cell>
          <cell r="X77">
            <v>-740.74074074074065</v>
          </cell>
          <cell r="Z77">
            <v>1544941.6600000001</v>
          </cell>
          <cell r="AA77">
            <v>1544941.6600000001</v>
          </cell>
          <cell r="AB77">
            <v>1951500</v>
          </cell>
          <cell r="AC77">
            <v>1445555.5555555555</v>
          </cell>
          <cell r="AE77">
            <v>109523.81000000001</v>
          </cell>
          <cell r="AF77">
            <v>109523.81000000001</v>
          </cell>
          <cell r="AG77">
            <v>138000</v>
          </cell>
          <cell r="AH77">
            <v>102222.22222222222</v>
          </cell>
          <cell r="AJ77">
            <v>5113550</v>
          </cell>
          <cell r="AK77">
            <v>5113550</v>
          </cell>
          <cell r="AL77">
            <v>4053220.3200000003</v>
          </cell>
          <cell r="AM77">
            <v>4053220.3200000003</v>
          </cell>
          <cell r="AN77">
            <v>3787814.8148148144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-1.37</v>
          </cell>
          <cell r="AX77">
            <v>-1.37</v>
          </cell>
        </row>
        <row r="78">
          <cell r="A78" t="str">
            <v>TALSE</v>
          </cell>
          <cell r="E78" t="e">
            <v>#N/A</v>
          </cell>
          <cell r="F78">
            <v>149309453.78999999</v>
          </cell>
          <cell r="G78" t="e">
            <v>#N/A</v>
          </cell>
          <cell r="H78">
            <v>144088382.91496307</v>
          </cell>
          <cell r="J78" t="e">
            <v>#N/A</v>
          </cell>
          <cell r="K78">
            <v>149309453.78999999</v>
          </cell>
          <cell r="M78" t="e">
            <v>#N/A</v>
          </cell>
          <cell r="N78">
            <v>1822719789.6300001</v>
          </cell>
          <cell r="O78" t="e">
            <v>#N/A</v>
          </cell>
          <cell r="P78">
            <v>1781011198.7069259</v>
          </cell>
          <cell r="R78" t="e">
            <v>#N/A</v>
          </cell>
          <cell r="S78">
            <v>1822719789.6300001</v>
          </cell>
          <cell r="U78" t="e">
            <v>#N/A</v>
          </cell>
          <cell r="V78">
            <v>3204962.33</v>
          </cell>
          <cell r="W78" t="e">
            <v>#N/A</v>
          </cell>
          <cell r="X78">
            <v>3084483.0923419548</v>
          </cell>
          <cell r="Z78" t="e">
            <v>#N/A</v>
          </cell>
          <cell r="AA78">
            <v>34100700.719999999</v>
          </cell>
          <cell r="AB78" t="e">
            <v>#N/A</v>
          </cell>
          <cell r="AC78">
            <v>32700243.251768705</v>
          </cell>
          <cell r="AE78" t="e">
            <v>#N/A</v>
          </cell>
          <cell r="AF78">
            <v>2696428.98</v>
          </cell>
          <cell r="AG78" t="e">
            <v>#N/A</v>
          </cell>
          <cell r="AH78">
            <v>2574839.8614837453</v>
          </cell>
          <cell r="AJ78" t="e">
            <v>#N/A</v>
          </cell>
          <cell r="AK78">
            <v>0</v>
          </cell>
          <cell r="AL78" t="e">
            <v>#N/A</v>
          </cell>
          <cell r="AM78">
            <v>31104259.73</v>
          </cell>
          <cell r="AN78">
            <v>29570949.944744371</v>
          </cell>
          <cell r="AP78" t="e">
            <v>#N/A</v>
          </cell>
          <cell r="AQ78">
            <v>0</v>
          </cell>
          <cell r="AR78" t="e">
            <v>#N/A</v>
          </cell>
          <cell r="AS78">
            <v>0</v>
          </cell>
          <cell r="AU78" t="e">
            <v>#N/A</v>
          </cell>
          <cell r="AV78">
            <v>108.11000000000058</v>
          </cell>
          <cell r="AW78" t="e">
            <v>#N/A</v>
          </cell>
          <cell r="AX78">
            <v>-16692746.049999999</v>
          </cell>
        </row>
        <row r="79">
          <cell r="A79" t="str">
            <v>SLE</v>
          </cell>
          <cell r="B79" t="str">
            <v>Sucralose</v>
          </cell>
          <cell r="C79" t="str">
            <v>USD</v>
          </cell>
          <cell r="E79">
            <v>7363513.5099999998</v>
          </cell>
          <cell r="F79">
            <v>7363513.5099999998</v>
          </cell>
          <cell r="G79">
            <v>13622500</v>
          </cell>
          <cell r="H79">
            <v>6950255.1020408161</v>
          </cell>
          <cell r="J79">
            <v>7363513.5099999998</v>
          </cell>
          <cell r="K79">
            <v>7363513.5099999998</v>
          </cell>
          <cell r="M79">
            <v>105753826.34</v>
          </cell>
          <cell r="N79">
            <v>105753826.34</v>
          </cell>
          <cell r="O79">
            <v>201487300</v>
          </cell>
          <cell r="P79">
            <v>102799642.85714287</v>
          </cell>
          <cell r="R79">
            <v>105753826.34</v>
          </cell>
          <cell r="S79">
            <v>105753826.34</v>
          </cell>
          <cell r="U79">
            <v>1729189.19</v>
          </cell>
          <cell r="V79">
            <v>1729189.19</v>
          </cell>
          <cell r="W79">
            <v>3199000</v>
          </cell>
          <cell r="X79">
            <v>1632142.8571428573</v>
          </cell>
          <cell r="Z79">
            <v>21330498.670000002</v>
          </cell>
          <cell r="AA79">
            <v>21330498.670000002</v>
          </cell>
          <cell r="AB79">
            <v>40489600</v>
          </cell>
          <cell r="AC79">
            <v>20657959.183673471</v>
          </cell>
          <cell r="AE79">
            <v>2021027.0299999998</v>
          </cell>
          <cell r="AF79">
            <v>2021027.0299999998</v>
          </cell>
          <cell r="AG79">
            <v>3738900</v>
          </cell>
          <cell r="AH79">
            <v>1907602.0408163266</v>
          </cell>
          <cell r="AJ79">
            <v>45897900</v>
          </cell>
          <cell r="AK79">
            <v>45897900</v>
          </cell>
          <cell r="AL79">
            <v>24191166.780000001</v>
          </cell>
          <cell r="AM79">
            <v>24191166.780000001</v>
          </cell>
          <cell r="AN79">
            <v>23417295.918367349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</row>
        <row r="80">
          <cell r="A80" t="str">
            <v>SUM</v>
          </cell>
          <cell r="B80" t="str">
            <v>Sucralose</v>
          </cell>
          <cell r="C80" t="str">
            <v>MXP</v>
          </cell>
          <cell r="E80">
            <v>179022.2</v>
          </cell>
          <cell r="F80">
            <v>179022.2</v>
          </cell>
          <cell r="G80">
            <v>3387100</v>
          </cell>
          <cell r="H80">
            <v>157264.99920327455</v>
          </cell>
          <cell r="J80">
            <v>179022.2</v>
          </cell>
          <cell r="K80">
            <v>179022.2</v>
          </cell>
          <cell r="M80">
            <v>4073541.62</v>
          </cell>
          <cell r="N80">
            <v>4073541.62</v>
          </cell>
          <cell r="O80">
            <v>80687200</v>
          </cell>
          <cell r="P80">
            <v>3746353.0582842114</v>
          </cell>
          <cell r="R80">
            <v>4073541.62</v>
          </cell>
          <cell r="S80">
            <v>4073541.62</v>
          </cell>
          <cell r="U80">
            <v>-8282.24</v>
          </cell>
          <cell r="V80">
            <v>-8282.24</v>
          </cell>
          <cell r="W80">
            <v>-156700</v>
          </cell>
          <cell r="X80">
            <v>-7275.6710386918367</v>
          </cell>
          <cell r="Z80">
            <v>65071.83</v>
          </cell>
          <cell r="AA80">
            <v>65071.83</v>
          </cell>
          <cell r="AB80">
            <v>1379300</v>
          </cell>
          <cell r="AC80">
            <v>64041.691535849714</v>
          </cell>
          <cell r="AE80">
            <v>-8282.24</v>
          </cell>
          <cell r="AF80">
            <v>-8282.24</v>
          </cell>
          <cell r="AG80">
            <v>-156700</v>
          </cell>
          <cell r="AH80">
            <v>-7275.6710386918367</v>
          </cell>
          <cell r="AJ80">
            <v>1379300</v>
          </cell>
          <cell r="AK80">
            <v>1379300</v>
          </cell>
          <cell r="AL80">
            <v>65071.83</v>
          </cell>
          <cell r="AM80">
            <v>65071.83</v>
          </cell>
          <cell r="AN80">
            <v>64041.691535849714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</row>
        <row r="81">
          <cell r="A81" t="str">
            <v>SAR</v>
          </cell>
          <cell r="B81" t="str">
            <v>Sucralose Argentina</v>
          </cell>
          <cell r="C81" t="str">
            <v>USD</v>
          </cell>
          <cell r="E81">
            <v>154486.49</v>
          </cell>
          <cell r="F81">
            <v>154486.49</v>
          </cell>
          <cell r="G81">
            <v>285800</v>
          </cell>
          <cell r="H81">
            <v>145816.32653061225</v>
          </cell>
          <cell r="J81">
            <v>154486.49</v>
          </cell>
          <cell r="K81">
            <v>154486.49</v>
          </cell>
          <cell r="M81">
            <v>2579392.98</v>
          </cell>
          <cell r="N81">
            <v>2579392.98</v>
          </cell>
          <cell r="O81">
            <v>4898200</v>
          </cell>
          <cell r="P81">
            <v>2499081.6326530613</v>
          </cell>
          <cell r="R81">
            <v>2579392.98</v>
          </cell>
          <cell r="S81">
            <v>2579392.98</v>
          </cell>
          <cell r="U81">
            <v>-17351.349999999999</v>
          </cell>
          <cell r="V81">
            <v>-17351.349999999999</v>
          </cell>
          <cell r="W81">
            <v>-32100</v>
          </cell>
          <cell r="X81">
            <v>-16377.551020408164</v>
          </cell>
          <cell r="Z81">
            <v>-76089.759999999995</v>
          </cell>
          <cell r="AA81">
            <v>-76089.759999999995</v>
          </cell>
          <cell r="AB81">
            <v>-140100</v>
          </cell>
          <cell r="AC81">
            <v>-71479.591836734689</v>
          </cell>
          <cell r="AE81">
            <v>-19513.509999999998</v>
          </cell>
          <cell r="AF81">
            <v>-19513.509999999998</v>
          </cell>
          <cell r="AG81">
            <v>-36100</v>
          </cell>
          <cell r="AH81">
            <v>-18418.367346938776</v>
          </cell>
          <cell r="AJ81">
            <v>-187100</v>
          </cell>
          <cell r="AK81">
            <v>-187100</v>
          </cell>
          <cell r="AL81">
            <v>-100916.54999999999</v>
          </cell>
          <cell r="AM81">
            <v>-100916.54999999999</v>
          </cell>
          <cell r="AN81">
            <v>-95459.183673469393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</row>
        <row r="82">
          <cell r="A82" t="str">
            <v>SIGH</v>
          </cell>
          <cell r="B82" t="str">
            <v>Singapore Holdings</v>
          </cell>
          <cell r="C82" t="str">
            <v>USD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-54.05</v>
          </cell>
          <cell r="V82">
            <v>-54.05</v>
          </cell>
          <cell r="W82">
            <v>-100</v>
          </cell>
          <cell r="X82">
            <v>-51.020408163265309</v>
          </cell>
          <cell r="Z82">
            <v>-526.86</v>
          </cell>
          <cell r="AA82">
            <v>-526.86</v>
          </cell>
          <cell r="AB82">
            <v>-1000</v>
          </cell>
          <cell r="AC82">
            <v>-510.20408163265307</v>
          </cell>
          <cell r="AE82">
            <v>-54.05</v>
          </cell>
          <cell r="AF82">
            <v>-54.05</v>
          </cell>
          <cell r="AG82">
            <v>-100</v>
          </cell>
          <cell r="AH82">
            <v>-51.020408163265309</v>
          </cell>
          <cell r="AJ82">
            <v>-1000</v>
          </cell>
          <cell r="AK82">
            <v>-1000</v>
          </cell>
          <cell r="AL82">
            <v>-526.86</v>
          </cell>
          <cell r="AM82">
            <v>-526.86</v>
          </cell>
          <cell r="AN82">
            <v>-510.20408163265307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</row>
        <row r="83">
          <cell r="A83" t="str">
            <v>SIG</v>
          </cell>
          <cell r="B83" t="str">
            <v>Singapore</v>
          </cell>
          <cell r="C83" t="str">
            <v>USD</v>
          </cell>
          <cell r="E83">
            <v>5738000.0099999998</v>
          </cell>
          <cell r="F83">
            <v>5738000.0099999998</v>
          </cell>
          <cell r="G83">
            <v>10615300</v>
          </cell>
          <cell r="H83">
            <v>5415969.3877551025</v>
          </cell>
          <cell r="J83">
            <v>5738000.0099999998</v>
          </cell>
          <cell r="K83">
            <v>5738000.0099999998</v>
          </cell>
          <cell r="M83">
            <v>61431556.130000003</v>
          </cell>
          <cell r="N83">
            <v>61431556.130000003</v>
          </cell>
          <cell r="O83">
            <v>116505300</v>
          </cell>
          <cell r="P83">
            <v>59441479.591836736</v>
          </cell>
          <cell r="R83">
            <v>61431556.130000003</v>
          </cell>
          <cell r="S83">
            <v>61431556.130000003</v>
          </cell>
          <cell r="U83">
            <v>810054.06</v>
          </cell>
          <cell r="V83">
            <v>810054.06</v>
          </cell>
          <cell r="W83">
            <v>1498600</v>
          </cell>
          <cell r="X83">
            <v>764591.83673469385</v>
          </cell>
          <cell r="Z83">
            <v>7414170.2300000004</v>
          </cell>
          <cell r="AA83">
            <v>7414170.2300000004</v>
          </cell>
          <cell r="AB83">
            <v>13810300</v>
          </cell>
          <cell r="AC83">
            <v>7046071.4285714291</v>
          </cell>
          <cell r="AE83">
            <v>546324.32000000007</v>
          </cell>
          <cell r="AF83">
            <v>546324.32000000007</v>
          </cell>
          <cell r="AG83">
            <v>1010700</v>
          </cell>
          <cell r="AH83">
            <v>515663.26530612248</v>
          </cell>
          <cell r="AJ83">
            <v>6068600</v>
          </cell>
          <cell r="AK83">
            <v>6068600</v>
          </cell>
          <cell r="AL83">
            <v>3355454.4000000004</v>
          </cell>
          <cell r="AM83">
            <v>3355454.4000000004</v>
          </cell>
          <cell r="AN83">
            <v>3096224.4897959186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A84" t="str">
            <v>PLCS</v>
          </cell>
          <cell r="B84" t="str">
            <v>Sucralose PLC</v>
          </cell>
          <cell r="C84" t="str">
            <v>GBP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5809900</v>
          </cell>
          <cell r="V84">
            <v>5809900</v>
          </cell>
          <cell r="W84">
            <v>5809900</v>
          </cell>
          <cell r="X84">
            <v>5809900</v>
          </cell>
          <cell r="Z84">
            <v>21789500</v>
          </cell>
          <cell r="AA84">
            <v>21789500</v>
          </cell>
          <cell r="AB84">
            <v>21789500</v>
          </cell>
          <cell r="AC84">
            <v>21789500</v>
          </cell>
          <cell r="AE84">
            <v>5802100</v>
          </cell>
          <cell r="AF84">
            <v>5802100</v>
          </cell>
          <cell r="AG84">
            <v>5802100</v>
          </cell>
          <cell r="AH84">
            <v>5802100</v>
          </cell>
          <cell r="AJ84">
            <v>21084700</v>
          </cell>
          <cell r="AK84">
            <v>21084700</v>
          </cell>
          <cell r="AL84">
            <v>21084700</v>
          </cell>
          <cell r="AM84">
            <v>21084700</v>
          </cell>
          <cell r="AN84">
            <v>21084700</v>
          </cell>
          <cell r="AP84">
            <v>-344700</v>
          </cell>
          <cell r="AQ84">
            <v>-344700</v>
          </cell>
          <cell r="AR84">
            <v>-4118300</v>
          </cell>
          <cell r="AS84">
            <v>-4118300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A85" t="str">
            <v>SSD</v>
          </cell>
          <cell r="B85" t="str">
            <v>T&amp;L SUCRALOSE</v>
          </cell>
          <cell r="C85" t="str">
            <v>GBP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</row>
        <row r="86">
          <cell r="A86" t="str">
            <v>SUCRALOSE</v>
          </cell>
          <cell r="B86" t="str">
            <v>Sucralose</v>
          </cell>
          <cell r="C86" t="str">
            <v>USD</v>
          </cell>
          <cell r="E86" t="e">
            <v>#N/A</v>
          </cell>
          <cell r="F86">
            <v>13435022.210000001</v>
          </cell>
          <cell r="G86" t="e">
            <v>#N/A</v>
          </cell>
          <cell r="H86">
            <v>12669305.815529805</v>
          </cell>
          <cell r="J86" t="e">
            <v>#N/A</v>
          </cell>
          <cell r="K86">
            <v>13435022.210000001</v>
          </cell>
          <cell r="M86" t="e">
            <v>#N/A</v>
          </cell>
          <cell r="N86">
            <v>173838317.07000002</v>
          </cell>
          <cell r="O86" t="e">
            <v>#N/A</v>
          </cell>
          <cell r="P86">
            <v>168486557.13991687</v>
          </cell>
          <cell r="R86" t="e">
            <v>#N/A</v>
          </cell>
          <cell r="S86">
            <v>173838317.07000002</v>
          </cell>
          <cell r="U86" t="e">
            <v>#N/A</v>
          </cell>
          <cell r="V86">
            <v>8323455.6099999994</v>
          </cell>
          <cell r="W86" t="e">
            <v>#N/A</v>
          </cell>
          <cell r="X86">
            <v>8182930.451410288</v>
          </cell>
          <cell r="Z86" t="e">
            <v>#N/A</v>
          </cell>
          <cell r="AA86">
            <v>50522624.109999999</v>
          </cell>
          <cell r="AB86" t="e">
            <v>#N/A</v>
          </cell>
          <cell r="AC86">
            <v>49485582.507862382</v>
          </cell>
          <cell r="AE86" t="e">
            <v>#N/A</v>
          </cell>
          <cell r="AF86">
            <v>8341601.5499999998</v>
          </cell>
          <cell r="AG86" t="e">
            <v>#N/A</v>
          </cell>
          <cell r="AH86">
            <v>8199620.2473286558</v>
          </cell>
          <cell r="AJ86" t="e">
            <v>#N/A</v>
          </cell>
          <cell r="AK86">
            <v>0</v>
          </cell>
          <cell r="AL86" t="e">
            <v>#N/A</v>
          </cell>
          <cell r="AM86">
            <v>48594949.600000001</v>
          </cell>
          <cell r="AN86">
            <v>47566292.711944014</v>
          </cell>
          <cell r="AP86" t="e">
            <v>#N/A</v>
          </cell>
          <cell r="AQ86">
            <v>-344700</v>
          </cell>
          <cell r="AR86" t="e">
            <v>#N/A</v>
          </cell>
          <cell r="AS86">
            <v>-4118300</v>
          </cell>
          <cell r="AU86" t="e">
            <v>#N/A</v>
          </cell>
          <cell r="AV86">
            <v>0</v>
          </cell>
          <cell r="AW86" t="e">
            <v>#N/A</v>
          </cell>
          <cell r="AX86">
            <v>0</v>
          </cell>
        </row>
        <row r="87">
          <cell r="A87" t="str">
            <v>STA</v>
          </cell>
          <cell r="B87" t="str">
            <v>A.E Staley Manufacturing Comp</v>
          </cell>
          <cell r="C87" t="str">
            <v>USD</v>
          </cell>
          <cell r="E87">
            <v>155810972.99000001</v>
          </cell>
          <cell r="F87">
            <v>155810972.99000001</v>
          </cell>
          <cell r="G87">
            <v>288250300</v>
          </cell>
          <cell r="H87">
            <v>147066479.59183675</v>
          </cell>
          <cell r="J87">
            <v>155810972.99000001</v>
          </cell>
          <cell r="K87">
            <v>155810972.99000001</v>
          </cell>
          <cell r="M87">
            <v>1576186752.75</v>
          </cell>
          <cell r="N87">
            <v>1576186752.75</v>
          </cell>
          <cell r="O87">
            <v>2981006100</v>
          </cell>
          <cell r="P87">
            <v>1520921479.5918367</v>
          </cell>
          <cell r="R87">
            <v>1576186752.75</v>
          </cell>
          <cell r="S87">
            <v>1576186752.75</v>
          </cell>
          <cell r="U87">
            <v>19136324.330000002</v>
          </cell>
          <cell r="V87">
            <v>19136324.330000002</v>
          </cell>
          <cell r="W87">
            <v>35402200</v>
          </cell>
          <cell r="X87">
            <v>18062346.93877551</v>
          </cell>
          <cell r="Z87">
            <v>208497287.59999999</v>
          </cell>
          <cell r="AA87">
            <v>208497287.59999999</v>
          </cell>
          <cell r="AB87">
            <v>393719700</v>
          </cell>
          <cell r="AC87">
            <v>200877397.95918366</v>
          </cell>
          <cell r="AE87">
            <v>15941945.950000003</v>
          </cell>
          <cell r="AF87">
            <v>15941945.950000003</v>
          </cell>
          <cell r="AG87">
            <v>29492600</v>
          </cell>
          <cell r="AH87">
            <v>15047244.897959184</v>
          </cell>
          <cell r="AJ87">
            <v>333010100</v>
          </cell>
          <cell r="AK87">
            <v>333010100</v>
          </cell>
          <cell r="AL87">
            <v>176371605.07999998</v>
          </cell>
          <cell r="AM87">
            <v>176371605.07999998</v>
          </cell>
          <cell r="AN87">
            <v>169903112.24489796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A88" t="str">
            <v>STAADJ</v>
          </cell>
          <cell r="C88" t="str">
            <v>USD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 t="str">
            <v>STC</v>
          </cell>
          <cell r="B89" t="str">
            <v>Staley Canada</v>
          </cell>
          <cell r="C89" t="str">
            <v>CAD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225143.37</v>
          </cell>
          <cell r="AA89">
            <v>225143.37</v>
          </cell>
          <cell r="AB89">
            <v>448300</v>
          </cell>
          <cell r="AC89">
            <v>224447.41077506982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468100</v>
          </cell>
          <cell r="AK89">
            <v>468100</v>
          </cell>
          <cell r="AL89">
            <v>235104.26</v>
          </cell>
          <cell r="AM89">
            <v>235104.26</v>
          </cell>
          <cell r="AN89">
            <v>234360.54647292034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 t="str">
            <v>STATOT</v>
          </cell>
          <cell r="B90" t="str">
            <v>STALEY</v>
          </cell>
          <cell r="E90">
            <v>155810972.99000001</v>
          </cell>
          <cell r="F90">
            <v>155810972.99000001</v>
          </cell>
          <cell r="G90">
            <v>288250300</v>
          </cell>
          <cell r="H90">
            <v>147066479.59183675</v>
          </cell>
          <cell r="J90">
            <v>155810972.99000001</v>
          </cell>
          <cell r="K90">
            <v>155810972.99000001</v>
          </cell>
          <cell r="M90">
            <v>1576186752.75</v>
          </cell>
          <cell r="N90">
            <v>1576186752.75</v>
          </cell>
          <cell r="O90">
            <v>2981006100</v>
          </cell>
          <cell r="P90">
            <v>1520921479.5918367</v>
          </cell>
          <cell r="R90">
            <v>1576186752.75</v>
          </cell>
          <cell r="S90">
            <v>1576186752.75</v>
          </cell>
          <cell r="U90">
            <v>19136324.330000002</v>
          </cell>
          <cell r="V90">
            <v>19136324.330000002</v>
          </cell>
          <cell r="W90">
            <v>35402200</v>
          </cell>
          <cell r="X90">
            <v>18062346.93877551</v>
          </cell>
          <cell r="Z90">
            <v>208722430.97</v>
          </cell>
          <cell r="AA90">
            <v>208722430.97</v>
          </cell>
          <cell r="AB90">
            <v>-2154000</v>
          </cell>
          <cell r="AC90">
            <v>201101845.36995873</v>
          </cell>
          <cell r="AE90">
            <v>15941945.950000003</v>
          </cell>
          <cell r="AF90">
            <v>15941945.950000003</v>
          </cell>
          <cell r="AG90">
            <v>29492600</v>
          </cell>
          <cell r="AH90">
            <v>15047244.897959184</v>
          </cell>
          <cell r="AJ90">
            <v>-62863600</v>
          </cell>
          <cell r="AK90">
            <v>-62863600</v>
          </cell>
          <cell r="AL90">
            <v>176606709.34</v>
          </cell>
          <cell r="AM90">
            <v>176606709.33999997</v>
          </cell>
          <cell r="AN90">
            <v>170137472.79137087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 t="str">
            <v>MCA</v>
          </cell>
          <cell r="B91" t="str">
            <v>Tate &amp; Lyle Mexico Citirc</v>
          </cell>
          <cell r="C91" t="str">
            <v>MXP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 t="str">
            <v>MER</v>
          </cell>
          <cell r="B92" t="str">
            <v>Mercocitrico</v>
          </cell>
          <cell r="C92" t="str">
            <v>BRL</v>
          </cell>
          <cell r="E92">
            <v>2907487.53</v>
          </cell>
          <cell r="F92">
            <v>2907487.53</v>
          </cell>
          <cell r="G92">
            <v>8737000</v>
          </cell>
          <cell r="H92">
            <v>2486160.7040620446</v>
          </cell>
          <cell r="J92">
            <v>2907487.53</v>
          </cell>
          <cell r="K92">
            <v>2907487.53</v>
          </cell>
          <cell r="M92">
            <v>33382424.449999999</v>
          </cell>
          <cell r="N92">
            <v>33382424.449999999</v>
          </cell>
          <cell r="O92">
            <v>102654000</v>
          </cell>
          <cell r="P92">
            <v>29210752.079064339</v>
          </cell>
          <cell r="R92">
            <v>33382424.449999999</v>
          </cell>
          <cell r="S92">
            <v>33382424.449999999</v>
          </cell>
          <cell r="U92">
            <v>76539.11</v>
          </cell>
          <cell r="V92">
            <v>76539.11</v>
          </cell>
          <cell r="W92">
            <v>230000</v>
          </cell>
          <cell r="X92">
            <v>65447.746587417911</v>
          </cell>
          <cell r="Z92">
            <v>707409.03</v>
          </cell>
          <cell r="AA92">
            <v>707409.03</v>
          </cell>
          <cell r="AB92">
            <v>2062000</v>
          </cell>
          <cell r="AC92">
            <v>586753.27592719882</v>
          </cell>
          <cell r="AE92">
            <v>98169.72</v>
          </cell>
          <cell r="AF92">
            <v>98169.72</v>
          </cell>
          <cell r="AG92">
            <v>295000</v>
          </cell>
          <cell r="AH92">
            <v>83943.848883862098</v>
          </cell>
          <cell r="AJ92">
            <v>3064000</v>
          </cell>
          <cell r="AK92">
            <v>3064000</v>
          </cell>
          <cell r="AL92">
            <v>1029643.71</v>
          </cell>
          <cell r="AM92">
            <v>1029643.71</v>
          </cell>
          <cell r="AN92">
            <v>871877.80671238468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</row>
        <row r="93">
          <cell r="A93" t="str">
            <v>MXM</v>
          </cell>
          <cell r="B93" t="str">
            <v>Mexama</v>
          </cell>
          <cell r="C93" t="str">
            <v>MXP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-9910.14</v>
          </cell>
          <cell r="V93">
            <v>-9910.14</v>
          </cell>
          <cell r="W93">
            <v>-187500</v>
          </cell>
          <cell r="X93">
            <v>-8705.732736150092</v>
          </cell>
          <cell r="Z93">
            <v>-38024.559999999998</v>
          </cell>
          <cell r="AA93">
            <v>-38024.559999999998</v>
          </cell>
          <cell r="AB93">
            <v>-658700</v>
          </cell>
          <cell r="AC93">
            <v>-30583.819484277683</v>
          </cell>
          <cell r="AE93">
            <v>-9910.14</v>
          </cell>
          <cell r="AF93">
            <v>-9910.14</v>
          </cell>
          <cell r="AG93">
            <v>-187500</v>
          </cell>
          <cell r="AH93">
            <v>-8705.732736150092</v>
          </cell>
          <cell r="AJ93">
            <v>-658700</v>
          </cell>
          <cell r="AK93">
            <v>-658700</v>
          </cell>
          <cell r="AL93">
            <v>-38024.559999999998</v>
          </cell>
          <cell r="AM93">
            <v>-38024.559999999998</v>
          </cell>
          <cell r="AN93">
            <v>-30583.819484277683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 t="str">
            <v>SUC</v>
          </cell>
          <cell r="B94" t="str">
            <v>Sucromiles</v>
          </cell>
          <cell r="C94" t="str">
            <v>COP</v>
          </cell>
          <cell r="E94">
            <v>2784237.45</v>
          </cell>
          <cell r="F94">
            <v>2784237.45</v>
          </cell>
          <cell r="G94">
            <v>9595874350</v>
          </cell>
          <cell r="H94">
            <v>2490936.503982259</v>
          </cell>
          <cell r="J94">
            <v>2784237.45</v>
          </cell>
          <cell r="K94">
            <v>2784237.45</v>
          </cell>
          <cell r="M94">
            <v>33394313.18</v>
          </cell>
          <cell r="N94">
            <v>33394313.18</v>
          </cell>
          <cell r="O94">
            <v>115739757450</v>
          </cell>
          <cell r="P94">
            <v>30044201.943333868</v>
          </cell>
          <cell r="R94">
            <v>33394313.18</v>
          </cell>
          <cell r="S94">
            <v>33394313.18</v>
          </cell>
          <cell r="U94">
            <v>82971.48</v>
          </cell>
          <cell r="V94">
            <v>82971.48</v>
          </cell>
          <cell r="W94">
            <v>285961250</v>
          </cell>
          <cell r="X94">
            <v>74230.996610475297</v>
          </cell>
          <cell r="Z94">
            <v>1616180.34</v>
          </cell>
          <cell r="AA94">
            <v>1616180.34</v>
          </cell>
          <cell r="AB94">
            <v>5617156550</v>
          </cell>
          <cell r="AC94">
            <v>1458124.5844447773</v>
          </cell>
          <cell r="AE94">
            <v>78640.759999999995</v>
          </cell>
          <cell r="AF94">
            <v>78640.759999999995</v>
          </cell>
          <cell r="AG94">
            <v>271035400</v>
          </cell>
          <cell r="AH94">
            <v>70356.483120418634</v>
          </cell>
          <cell r="AJ94">
            <v>5432140750</v>
          </cell>
          <cell r="AK94">
            <v>5432140750</v>
          </cell>
          <cell r="AL94">
            <v>1562848.86</v>
          </cell>
          <cell r="AM94">
            <v>1562848.86</v>
          </cell>
          <cell r="AN94">
            <v>1410097.4226433642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</row>
        <row r="95">
          <cell r="A95" t="str">
            <v>TCA</v>
          </cell>
          <cell r="B95" t="str">
            <v>Tate &amp; Lyle Citirc Acid</v>
          </cell>
          <cell r="C95" t="str">
            <v>GBP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M95">
            <v>2389900</v>
          </cell>
          <cell r="N95">
            <v>2389900</v>
          </cell>
          <cell r="O95">
            <v>2389900</v>
          </cell>
          <cell r="P95">
            <v>2389900</v>
          </cell>
          <cell r="R95">
            <v>2389900</v>
          </cell>
          <cell r="S95">
            <v>2389900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-108700</v>
          </cell>
          <cell r="AA95">
            <v>-108700</v>
          </cell>
          <cell r="AB95">
            <v>-108700</v>
          </cell>
          <cell r="AC95">
            <v>-108700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-115500</v>
          </cell>
          <cell r="AK95">
            <v>-115500</v>
          </cell>
          <cell r="AL95">
            <v>-115500</v>
          </cell>
          <cell r="AM95">
            <v>-115500</v>
          </cell>
          <cell r="AN95">
            <v>-115500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 t="str">
            <v>TCU</v>
          </cell>
          <cell r="B96" t="str">
            <v>Tate &amp; Lyle Citirc Acid Inc</v>
          </cell>
          <cell r="C96" t="str">
            <v>USD</v>
          </cell>
          <cell r="E96">
            <v>4883783.79</v>
          </cell>
          <cell r="F96">
            <v>4883783.79</v>
          </cell>
          <cell r="G96">
            <v>9035000</v>
          </cell>
          <cell r="H96">
            <v>4609693.8775510201</v>
          </cell>
          <cell r="J96">
            <v>4883783.79</v>
          </cell>
          <cell r="K96">
            <v>4883783.79</v>
          </cell>
          <cell r="M96">
            <v>55896003.280000001</v>
          </cell>
          <cell r="N96">
            <v>55896003.280000001</v>
          </cell>
          <cell r="O96">
            <v>106007700</v>
          </cell>
          <cell r="P96">
            <v>54085561.224489793</v>
          </cell>
          <cell r="R96">
            <v>55896003.280000001</v>
          </cell>
          <cell r="S96">
            <v>55896003.280000001</v>
          </cell>
          <cell r="U96">
            <v>-25351.35</v>
          </cell>
          <cell r="V96">
            <v>-25351.35</v>
          </cell>
          <cell r="W96">
            <v>-46900</v>
          </cell>
          <cell r="X96">
            <v>-23928.571428571428</v>
          </cell>
          <cell r="Z96">
            <v>2668962.1</v>
          </cell>
          <cell r="AA96">
            <v>2668962.1</v>
          </cell>
          <cell r="AB96">
            <v>5235000</v>
          </cell>
          <cell r="AC96">
            <v>2670918.3673469387</v>
          </cell>
          <cell r="AE96">
            <v>-230810.81</v>
          </cell>
          <cell r="AF96">
            <v>-230810.81</v>
          </cell>
          <cell r="AG96">
            <v>-427000</v>
          </cell>
          <cell r="AH96">
            <v>-217857.14285714287</v>
          </cell>
          <cell r="AJ96">
            <v>1172500</v>
          </cell>
          <cell r="AK96">
            <v>1172500</v>
          </cell>
          <cell r="AL96">
            <v>523892.74000000022</v>
          </cell>
          <cell r="AM96">
            <v>523892.74000000022</v>
          </cell>
          <cell r="AN96">
            <v>598214.28571428568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</row>
        <row r="97">
          <cell r="A97" t="str">
            <v>CITTOT</v>
          </cell>
          <cell r="B97" t="str">
            <v>CITRIC</v>
          </cell>
          <cell r="C97" t="str">
            <v>USD</v>
          </cell>
          <cell r="E97">
            <v>10575508.77</v>
          </cell>
          <cell r="F97">
            <v>10575508.77</v>
          </cell>
          <cell r="G97">
            <v>0</v>
          </cell>
          <cell r="H97">
            <v>9586791.0855953246</v>
          </cell>
          <cell r="J97">
            <v>10575508.77</v>
          </cell>
          <cell r="K97">
            <v>10575508.77</v>
          </cell>
          <cell r="M97">
            <v>125062640.91</v>
          </cell>
          <cell r="N97">
            <v>125062640.91</v>
          </cell>
          <cell r="O97">
            <v>0</v>
          </cell>
          <cell r="P97">
            <v>115730415.246888</v>
          </cell>
          <cell r="R97">
            <v>125062640.91</v>
          </cell>
          <cell r="S97">
            <v>125062640.91</v>
          </cell>
          <cell r="U97">
            <v>124249.11</v>
          </cell>
          <cell r="V97">
            <v>124249.1</v>
          </cell>
          <cell r="W97">
            <v>0</v>
          </cell>
          <cell r="X97">
            <v>107044.43903317169</v>
          </cell>
          <cell r="Z97">
            <v>4833737.72</v>
          </cell>
          <cell r="AA97">
            <v>4845826.91</v>
          </cell>
          <cell r="AB97">
            <v>0</v>
          </cell>
          <cell r="AC97">
            <v>4576512.4082346372</v>
          </cell>
          <cell r="AE97">
            <v>-62288.849999999977</v>
          </cell>
          <cell r="AF97">
            <v>-63910.47</v>
          </cell>
          <cell r="AG97">
            <v>0</v>
          </cell>
          <cell r="AH97">
            <v>-72262.543589012232</v>
          </cell>
          <cell r="AJ97">
            <v>0</v>
          </cell>
          <cell r="AK97">
            <v>0</v>
          </cell>
          <cell r="AL97">
            <v>2980484.45</v>
          </cell>
          <cell r="AM97">
            <v>2962860.75</v>
          </cell>
          <cell r="AN97">
            <v>2734105.6955857566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</row>
        <row r="98">
          <cell r="A98" t="str">
            <v>CCI</v>
          </cell>
          <cell r="B98" t="str">
            <v>CCI USA</v>
          </cell>
          <cell r="C98" t="str">
            <v>USD</v>
          </cell>
          <cell r="E98">
            <v>3468486.49</v>
          </cell>
          <cell r="F98">
            <v>3468486.49</v>
          </cell>
          <cell r="G98">
            <v>6416700</v>
          </cell>
          <cell r="H98">
            <v>3273826.5306122447</v>
          </cell>
          <cell r="J98">
            <v>3468486.49</v>
          </cell>
          <cell r="K98">
            <v>3468486.49</v>
          </cell>
          <cell r="M98">
            <v>39361783.380000003</v>
          </cell>
          <cell r="N98">
            <v>39361783.380000003</v>
          </cell>
          <cell r="O98">
            <v>74485000</v>
          </cell>
          <cell r="P98">
            <v>38002551.020408161</v>
          </cell>
          <cell r="R98">
            <v>39361783.380000003</v>
          </cell>
          <cell r="S98">
            <v>39361783.380000003</v>
          </cell>
          <cell r="U98">
            <v>591405.41</v>
          </cell>
          <cell r="V98">
            <v>591405.41</v>
          </cell>
          <cell r="W98">
            <v>1094100</v>
          </cell>
          <cell r="X98">
            <v>558214.28571428568</v>
          </cell>
          <cell r="Z98">
            <v>6459348.3499999996</v>
          </cell>
          <cell r="AA98">
            <v>6459348.3499999996</v>
          </cell>
          <cell r="AB98">
            <v>12230000</v>
          </cell>
          <cell r="AC98">
            <v>6239795.9183673467</v>
          </cell>
          <cell r="AE98">
            <v>573675.68000000005</v>
          </cell>
          <cell r="AF98">
            <v>573675.68000000005</v>
          </cell>
          <cell r="AG98">
            <v>1061300</v>
          </cell>
          <cell r="AH98">
            <v>541479.59183673467</v>
          </cell>
          <cell r="AJ98">
            <v>12108800</v>
          </cell>
          <cell r="AK98">
            <v>12108800</v>
          </cell>
          <cell r="AL98">
            <v>6394647.9399999995</v>
          </cell>
          <cell r="AM98">
            <v>6394647.9399999995</v>
          </cell>
          <cell r="AN98">
            <v>6177959.1836734693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-93198.03</v>
          </cell>
          <cell r="AX98">
            <v>-93198.03</v>
          </cell>
        </row>
        <row r="99">
          <cell r="A99" t="str">
            <v>CCC</v>
          </cell>
          <cell r="B99" t="str">
            <v>CCI Canada</v>
          </cell>
          <cell r="C99" t="str">
            <v>CAD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</row>
        <row r="100">
          <cell r="A100" t="str">
            <v>CCM</v>
          </cell>
          <cell r="B100" t="str">
            <v>CCI Mexico</v>
          </cell>
          <cell r="C100" t="str">
            <v>MXP</v>
          </cell>
          <cell r="E100">
            <v>121960.89</v>
          </cell>
          <cell r="F100">
            <v>121960.89</v>
          </cell>
          <cell r="G100">
            <v>2307500</v>
          </cell>
          <cell r="H100">
            <v>107138.55087288714</v>
          </cell>
          <cell r="J100">
            <v>121960.89</v>
          </cell>
          <cell r="K100">
            <v>121960.89</v>
          </cell>
          <cell r="M100">
            <v>1120680.31</v>
          </cell>
          <cell r="N100">
            <v>1120680.31</v>
          </cell>
          <cell r="O100">
            <v>21850700</v>
          </cell>
          <cell r="P100">
            <v>1014540.5562549056</v>
          </cell>
          <cell r="R100">
            <v>1120680.31</v>
          </cell>
          <cell r="S100">
            <v>1120680.31</v>
          </cell>
          <cell r="U100">
            <v>22447.14</v>
          </cell>
          <cell r="V100">
            <v>22447.14</v>
          </cell>
          <cell r="W100">
            <v>424700</v>
          </cell>
          <cell r="X100">
            <v>19719.065029562367</v>
          </cell>
          <cell r="Z100">
            <v>157997.01999999999</v>
          </cell>
          <cell r="AA100">
            <v>157997.01999999999</v>
          </cell>
          <cell r="AB100">
            <v>3085100</v>
          </cell>
          <cell r="AC100">
            <v>143242.9656762488</v>
          </cell>
          <cell r="AE100">
            <v>25042.28</v>
          </cell>
          <cell r="AF100">
            <v>25042.28</v>
          </cell>
          <cell r="AG100">
            <v>473800</v>
          </cell>
          <cell r="AH100">
            <v>21998.806242068873</v>
          </cell>
          <cell r="AJ100">
            <v>3528000</v>
          </cell>
          <cell r="AK100">
            <v>3528000</v>
          </cell>
          <cell r="AL100">
            <v>181203.58</v>
          </cell>
          <cell r="AM100">
            <v>181203.58</v>
          </cell>
          <cell r="AN100">
            <v>163807.06716340012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</row>
        <row r="101">
          <cell r="A101" t="str">
            <v>CCITOT</v>
          </cell>
          <cell r="C101" t="str">
            <v>USD</v>
          </cell>
          <cell r="E101" t="e">
            <v>#N/A</v>
          </cell>
          <cell r="F101">
            <v>3590447.3800000004</v>
          </cell>
          <cell r="G101" t="e">
            <v>#N/A</v>
          </cell>
          <cell r="H101">
            <v>3380965.0814851318</v>
          </cell>
          <cell r="J101" t="e">
            <v>#N/A</v>
          </cell>
          <cell r="K101">
            <v>3590447.3800000004</v>
          </cell>
          <cell r="M101" t="e">
            <v>#N/A</v>
          </cell>
          <cell r="N101">
            <v>40482463.690000005</v>
          </cell>
          <cell r="O101" t="e">
            <v>#N/A</v>
          </cell>
          <cell r="P101">
            <v>39017091.576663069</v>
          </cell>
          <cell r="R101" t="e">
            <v>#N/A</v>
          </cell>
          <cell r="S101">
            <v>40482463.690000005</v>
          </cell>
          <cell r="U101" t="e">
            <v>#N/A</v>
          </cell>
          <cell r="V101">
            <v>613852.55000000005</v>
          </cell>
          <cell r="W101" t="e">
            <v>#N/A</v>
          </cell>
          <cell r="X101">
            <v>577933.35074384802</v>
          </cell>
          <cell r="Z101" t="e">
            <v>#N/A</v>
          </cell>
          <cell r="AA101">
            <v>6617345.3699999992</v>
          </cell>
          <cell r="AB101" t="e">
            <v>#N/A</v>
          </cell>
          <cell r="AC101">
            <v>6383038.8840435958</v>
          </cell>
          <cell r="AE101" t="e">
            <v>#N/A</v>
          </cell>
          <cell r="AF101">
            <v>598717.96000000008</v>
          </cell>
          <cell r="AG101" t="e">
            <v>#N/A</v>
          </cell>
          <cell r="AH101">
            <v>563478.39807880356</v>
          </cell>
          <cell r="AJ101" t="e">
            <v>#N/A</v>
          </cell>
          <cell r="AL101" t="e">
            <v>#N/A</v>
          </cell>
          <cell r="AM101">
            <v>6575851.5199999996</v>
          </cell>
          <cell r="AN101">
            <v>6341766.2508368697</v>
          </cell>
          <cell r="AP101" t="e">
            <v>#N/A</v>
          </cell>
          <cell r="AQ101">
            <v>0</v>
          </cell>
          <cell r="AR101" t="e">
            <v>#N/A</v>
          </cell>
          <cell r="AS101">
            <v>0</v>
          </cell>
          <cell r="AU101" t="e">
            <v>#N/A</v>
          </cell>
          <cell r="AV101">
            <v>0</v>
          </cell>
          <cell r="AW101" t="e">
            <v>#N/A</v>
          </cell>
          <cell r="AX101">
            <v>-93198.03</v>
          </cell>
        </row>
        <row r="102">
          <cell r="A102" t="str">
            <v>DUP</v>
          </cell>
          <cell r="B102" t="str">
            <v>3G Dupont (JV)</v>
          </cell>
          <cell r="C102" t="str">
            <v>USD</v>
          </cell>
          <cell r="E102">
            <v>393648.65</v>
          </cell>
          <cell r="F102">
            <v>393648.65</v>
          </cell>
          <cell r="G102">
            <v>728250</v>
          </cell>
          <cell r="H102">
            <v>371556.12244897959</v>
          </cell>
          <cell r="J102">
            <v>393648.65</v>
          </cell>
          <cell r="K102">
            <v>393648.65</v>
          </cell>
          <cell r="M102">
            <v>7387466.3899999997</v>
          </cell>
          <cell r="N102">
            <v>7387466.3899999997</v>
          </cell>
          <cell r="O102">
            <v>13895550</v>
          </cell>
          <cell r="P102">
            <v>7089566.3265306121</v>
          </cell>
          <cell r="R102">
            <v>7387466.3899999997</v>
          </cell>
          <cell r="S102">
            <v>7387466.3899999997</v>
          </cell>
          <cell r="U102">
            <v>-519351.37</v>
          </cell>
          <cell r="V102">
            <v>-519351.37</v>
          </cell>
          <cell r="W102">
            <v>-960800</v>
          </cell>
          <cell r="X102">
            <v>-490204.08163265308</v>
          </cell>
          <cell r="Z102">
            <v>-5768567.9000000004</v>
          </cell>
          <cell r="AA102">
            <v>-5768567.9000000004</v>
          </cell>
          <cell r="AB102">
            <v>-10964400</v>
          </cell>
          <cell r="AC102">
            <v>-5594081.6326530613</v>
          </cell>
          <cell r="AE102">
            <v>-546324.32999999996</v>
          </cell>
          <cell r="AF102">
            <v>-546324.32999999996</v>
          </cell>
          <cell r="AG102">
            <v>-1010700</v>
          </cell>
          <cell r="AH102">
            <v>-515663.26530612248</v>
          </cell>
          <cell r="AJ102">
            <v>-11530650</v>
          </cell>
          <cell r="AK102">
            <v>-11530650</v>
          </cell>
          <cell r="AL102">
            <v>-6067662.7200000007</v>
          </cell>
          <cell r="AM102">
            <v>-6067662.7200000007</v>
          </cell>
          <cell r="AN102">
            <v>-5882984.6938775508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</row>
        <row r="103">
          <cell r="A103" t="str">
            <v>ALM</v>
          </cell>
          <cell r="B103" t="str">
            <v>ALMEX (JV)</v>
          </cell>
          <cell r="C103" t="str">
            <v>MXP</v>
          </cell>
          <cell r="E103">
            <v>7635037</v>
          </cell>
          <cell r="F103">
            <v>7635037</v>
          </cell>
          <cell r="G103">
            <v>144454900</v>
          </cell>
          <cell r="H103">
            <v>6707124.0097455354</v>
          </cell>
          <cell r="J103">
            <v>7635037</v>
          </cell>
          <cell r="K103">
            <v>7635037</v>
          </cell>
          <cell r="M103">
            <v>105819360.37</v>
          </cell>
          <cell r="N103">
            <v>105819360.37</v>
          </cell>
          <cell r="O103">
            <v>2059587350</v>
          </cell>
          <cell r="P103">
            <v>95627824.084563285</v>
          </cell>
          <cell r="R103">
            <v>105819360.37</v>
          </cell>
          <cell r="S103">
            <v>105819360.37</v>
          </cell>
          <cell r="U103">
            <v>90525.9</v>
          </cell>
          <cell r="V103">
            <v>90525.9</v>
          </cell>
          <cell r="W103">
            <v>1712750</v>
          </cell>
          <cell r="X103">
            <v>79523.966633819044</v>
          </cell>
          <cell r="Z103">
            <v>5920916.3700000001</v>
          </cell>
          <cell r="AA103">
            <v>5920916.3700000001</v>
          </cell>
          <cell r="AB103">
            <v>116287950</v>
          </cell>
          <cell r="AC103">
            <v>5399316.3367188536</v>
          </cell>
          <cell r="AE103">
            <v>93062.9</v>
          </cell>
          <cell r="AF103">
            <v>93062.9</v>
          </cell>
          <cell r="AG103">
            <v>1760750</v>
          </cell>
          <cell r="AH103">
            <v>81752.634214273465</v>
          </cell>
          <cell r="AJ103">
            <v>119173250</v>
          </cell>
          <cell r="AK103">
            <v>119173250</v>
          </cell>
          <cell r="AL103">
            <v>6066793.8899999997</v>
          </cell>
          <cell r="AM103">
            <v>6066793.8899999997</v>
          </cell>
          <cell r="AN103">
            <v>5533282.4735914608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U103">
            <v>0</v>
          </cell>
          <cell r="AV103">
            <v>0</v>
          </cell>
          <cell r="AW103">
            <v>-895.07</v>
          </cell>
          <cell r="AX103">
            <v>-895.07</v>
          </cell>
        </row>
        <row r="104">
          <cell r="A104" t="str">
            <v>AST</v>
          </cell>
          <cell r="B104" t="str">
            <v>Asta</v>
          </cell>
          <cell r="C104" t="str">
            <v>USD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  <cell r="S104">
            <v>0</v>
          </cell>
          <cell r="U104">
            <v>0.01</v>
          </cell>
          <cell r="V104">
            <v>0.01</v>
          </cell>
          <cell r="W104">
            <v>0</v>
          </cell>
          <cell r="X104">
            <v>0</v>
          </cell>
          <cell r="Z104">
            <v>-12089.19</v>
          </cell>
          <cell r="AA104">
            <v>-12089.19</v>
          </cell>
          <cell r="AB104">
            <v>-23050</v>
          </cell>
          <cell r="AC104">
            <v>-11760.204081632653</v>
          </cell>
          <cell r="AE104">
            <v>1621.6299999999999</v>
          </cell>
          <cell r="AF104">
            <v>1621.6299999999999</v>
          </cell>
          <cell r="AG104">
            <v>3000</v>
          </cell>
          <cell r="AH104">
            <v>1530.6122448979593</v>
          </cell>
          <cell r="AJ104">
            <v>10200</v>
          </cell>
          <cell r="AK104">
            <v>10200</v>
          </cell>
          <cell r="AL104">
            <v>5534.51</v>
          </cell>
          <cell r="AM104">
            <v>5534.51</v>
          </cell>
          <cell r="AN104">
            <v>5204.0816326530612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</row>
        <row r="105">
          <cell r="A105" t="str">
            <v>TFP</v>
          </cell>
          <cell r="B105" t="str">
            <v>Tate &amp; Lyle Termentation Prod</v>
          </cell>
          <cell r="C105" t="str">
            <v>USD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0</v>
          </cell>
          <cell r="S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</row>
        <row r="106">
          <cell r="A106" t="str">
            <v>ASTTOT</v>
          </cell>
          <cell r="B106" t="str">
            <v>ASTA (JV)</v>
          </cell>
          <cell r="E106" t="e">
            <v>#N/A</v>
          </cell>
          <cell r="F106">
            <v>0</v>
          </cell>
          <cell r="G106" t="e">
            <v>#N/A</v>
          </cell>
          <cell r="H106">
            <v>0</v>
          </cell>
          <cell r="J106" t="e">
            <v>#N/A</v>
          </cell>
          <cell r="K106">
            <v>0</v>
          </cell>
          <cell r="M106" t="e">
            <v>#N/A</v>
          </cell>
          <cell r="N106">
            <v>0</v>
          </cell>
          <cell r="O106" t="e">
            <v>#N/A</v>
          </cell>
          <cell r="P106">
            <v>0</v>
          </cell>
          <cell r="R106" t="e">
            <v>#N/A</v>
          </cell>
          <cell r="S106">
            <v>0</v>
          </cell>
          <cell r="U106" t="e">
            <v>#N/A</v>
          </cell>
          <cell r="V106">
            <v>0.01</v>
          </cell>
          <cell r="W106" t="e">
            <v>#N/A</v>
          </cell>
          <cell r="X106">
            <v>0</v>
          </cell>
          <cell r="Z106" t="e">
            <v>#N/A</v>
          </cell>
          <cell r="AA106">
            <v>-12089.19</v>
          </cell>
          <cell r="AB106" t="e">
            <v>#N/A</v>
          </cell>
          <cell r="AC106">
            <v>-11760.204081632653</v>
          </cell>
          <cell r="AE106" t="e">
            <v>#N/A</v>
          </cell>
          <cell r="AF106">
            <v>1621.6299999999999</v>
          </cell>
          <cell r="AG106" t="e">
            <v>#N/A</v>
          </cell>
          <cell r="AH106">
            <v>1530.6122448979593</v>
          </cell>
          <cell r="AJ106" t="e">
            <v>#N/A</v>
          </cell>
          <cell r="AK106">
            <v>0</v>
          </cell>
          <cell r="AL106" t="e">
            <v>#N/A</v>
          </cell>
          <cell r="AM106">
            <v>5534.51</v>
          </cell>
          <cell r="AN106">
            <v>5204.0816326530612</v>
          </cell>
          <cell r="AP106" t="e">
            <v>#N/A</v>
          </cell>
          <cell r="AQ106">
            <v>0</v>
          </cell>
          <cell r="AR106" t="e">
            <v>#N/A</v>
          </cell>
          <cell r="AS106">
            <v>0</v>
          </cell>
          <cell r="AU106" t="e">
            <v>#N/A</v>
          </cell>
          <cell r="AV106">
            <v>0</v>
          </cell>
          <cell r="AW106" t="e">
            <v>#N/A</v>
          </cell>
          <cell r="AX106">
            <v>0</v>
          </cell>
        </row>
        <row r="107">
          <cell r="A107" t="str">
            <v>BIO</v>
          </cell>
          <cell r="B107" t="str">
            <v>T&amp;L Biomaterials BV</v>
          </cell>
          <cell r="C107" t="str">
            <v>EUR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U107">
            <v>-5714.28</v>
          </cell>
          <cell r="V107">
            <v>-5714.28</v>
          </cell>
          <cell r="W107">
            <v>-7200</v>
          </cell>
          <cell r="X107">
            <v>-5333.333333333333</v>
          </cell>
          <cell r="Z107">
            <v>-66720.14</v>
          </cell>
          <cell r="AA107">
            <v>-66720.14</v>
          </cell>
          <cell r="AB107">
            <v>-84100</v>
          </cell>
          <cell r="AC107">
            <v>-62296.296296296292</v>
          </cell>
          <cell r="AE107">
            <v>-2539.6799999999998</v>
          </cell>
          <cell r="AF107">
            <v>-2539.6799999999998</v>
          </cell>
          <cell r="AG107">
            <v>-3200</v>
          </cell>
          <cell r="AH107">
            <v>-2370.3703703703704</v>
          </cell>
          <cell r="AJ107">
            <v>-27600</v>
          </cell>
          <cell r="AK107">
            <v>-27600</v>
          </cell>
          <cell r="AL107">
            <v>-21900.519999999997</v>
          </cell>
          <cell r="AM107">
            <v>-21900.519999999997</v>
          </cell>
          <cell r="AN107">
            <v>-20444.444444444442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A108" t="str">
            <v>HYC</v>
          </cell>
          <cell r="B108" t="str">
            <v>Hycail</v>
          </cell>
          <cell r="C108" t="str">
            <v>EUR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544074.81000000006</v>
          </cell>
          <cell r="AA108">
            <v>544074.81000000006</v>
          </cell>
          <cell r="AB108">
            <v>687800</v>
          </cell>
          <cell r="AC108">
            <v>509481.48148148146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670300</v>
          </cell>
          <cell r="AK108">
            <v>670300</v>
          </cell>
          <cell r="AL108">
            <v>530196.70000000007</v>
          </cell>
          <cell r="AM108">
            <v>530196.70000000007</v>
          </cell>
          <cell r="AN108">
            <v>496518.51851851848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</row>
        <row r="109">
          <cell r="A109" t="str">
            <v>ANZ</v>
          </cell>
          <cell r="B109" t="str">
            <v>T&amp;L ANZ PTY LTD</v>
          </cell>
          <cell r="C109" t="str">
            <v>AUD</v>
          </cell>
          <cell r="E109">
            <v>649235.51</v>
          </cell>
          <cell r="F109">
            <v>649235.51</v>
          </cell>
          <cell r="G109">
            <v>1398700</v>
          </cell>
          <cell r="H109">
            <v>628170.05430956464</v>
          </cell>
          <cell r="J109">
            <v>649235.51</v>
          </cell>
          <cell r="K109">
            <v>649235.51</v>
          </cell>
          <cell r="M109">
            <v>8923897.8499999996</v>
          </cell>
          <cell r="N109">
            <v>8923897.8499999996</v>
          </cell>
          <cell r="O109">
            <v>19004000</v>
          </cell>
          <cell r="P109">
            <v>8534885.0447551049</v>
          </cell>
          <cell r="R109">
            <v>8923897.8499999996</v>
          </cell>
          <cell r="S109">
            <v>8923897.8499999996</v>
          </cell>
          <cell r="U109">
            <v>-3109.94</v>
          </cell>
          <cell r="V109">
            <v>-3109.94</v>
          </cell>
          <cell r="W109">
            <v>-6700</v>
          </cell>
          <cell r="X109">
            <v>-3009.0365080961483</v>
          </cell>
          <cell r="Z109">
            <v>289030.96000000002</v>
          </cell>
          <cell r="AA109">
            <v>289030.96000000002</v>
          </cell>
          <cell r="AB109">
            <v>616000</v>
          </cell>
          <cell r="AC109">
            <v>276651.71477421303</v>
          </cell>
          <cell r="AE109">
            <v>-928.34000000000015</v>
          </cell>
          <cell r="AF109">
            <v>-928.34000000000015</v>
          </cell>
          <cell r="AG109">
            <v>-2000</v>
          </cell>
          <cell r="AH109">
            <v>-898.21985316302937</v>
          </cell>
          <cell r="AJ109">
            <v>627700</v>
          </cell>
          <cell r="AK109">
            <v>627700</v>
          </cell>
          <cell r="AL109">
            <v>294483.85000000003</v>
          </cell>
          <cell r="AM109">
            <v>294483.85000000003</v>
          </cell>
          <cell r="AN109">
            <v>281906.30091521679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 t="str">
            <v>THK</v>
          </cell>
          <cell r="B110" t="str">
            <v>T&amp;L Hong Kong</v>
          </cell>
          <cell r="C110" t="str">
            <v>HKD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U110">
            <v>-484.09</v>
          </cell>
          <cell r="V110">
            <v>-484.09</v>
          </cell>
          <cell r="W110">
            <v>-7000</v>
          </cell>
          <cell r="X110">
            <v>-451.44657341532076</v>
          </cell>
          <cell r="Z110">
            <v>-5305.76</v>
          </cell>
          <cell r="AA110">
            <v>-5305.76</v>
          </cell>
          <cell r="AB110">
            <v>-78100</v>
          </cell>
          <cell r="AC110">
            <v>-5036.8539119623647</v>
          </cell>
          <cell r="AE110">
            <v>-484.09</v>
          </cell>
          <cell r="AF110">
            <v>-484.09</v>
          </cell>
          <cell r="AG110">
            <v>-7000</v>
          </cell>
          <cell r="AH110">
            <v>-451.44657341532076</v>
          </cell>
          <cell r="AJ110">
            <v>-72400</v>
          </cell>
          <cell r="AK110">
            <v>-72400</v>
          </cell>
          <cell r="AL110">
            <v>-4927.5600000000004</v>
          </cell>
          <cell r="AM110">
            <v>-4927.5600000000004</v>
          </cell>
          <cell r="AN110">
            <v>-4669.2474164670321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 t="str">
            <v>TII</v>
          </cell>
          <cell r="B111" t="str">
            <v>T&amp;L Investments India</v>
          </cell>
          <cell r="C111" t="str">
            <v>INR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  <cell r="S111">
            <v>0</v>
          </cell>
          <cell r="U111">
            <v>-13142.96</v>
          </cell>
          <cell r="V111">
            <v>-13142.96</v>
          </cell>
          <cell r="W111">
            <v>-1044200</v>
          </cell>
          <cell r="X111">
            <v>-13354.349701743478</v>
          </cell>
          <cell r="Z111">
            <v>-134058.92000000001</v>
          </cell>
          <cell r="AA111">
            <v>-134058.92000000001</v>
          </cell>
          <cell r="AB111">
            <v>-10803800</v>
          </cell>
          <cell r="AC111">
            <v>-138170.58351627676</v>
          </cell>
          <cell r="AE111">
            <v>-13142.96</v>
          </cell>
          <cell r="AF111">
            <v>-13142.96</v>
          </cell>
          <cell r="AG111">
            <v>-1044200</v>
          </cell>
          <cell r="AH111">
            <v>-13354.349701743478</v>
          </cell>
          <cell r="AJ111">
            <v>-10803800</v>
          </cell>
          <cell r="AK111">
            <v>-10803800</v>
          </cell>
          <cell r="AL111">
            <v>-134058.92000000001</v>
          </cell>
          <cell r="AM111">
            <v>-134058.92000000001</v>
          </cell>
          <cell r="AN111">
            <v>-138170.58351627676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 t="str">
            <v>SHG</v>
          </cell>
          <cell r="B112" t="str">
            <v>T&amp;L Shanghai</v>
          </cell>
          <cell r="C112" t="str">
            <v>CNY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  <cell r="S112">
            <v>0</v>
          </cell>
          <cell r="U112">
            <v>-199205.32</v>
          </cell>
          <cell r="V112">
            <v>-199205.32</v>
          </cell>
          <cell r="W112">
            <v>-2531800</v>
          </cell>
          <cell r="X112">
            <v>-177275.47340092505</v>
          </cell>
          <cell r="Z112">
            <v>-1693391.55</v>
          </cell>
          <cell r="AA112">
            <v>-1693391.55</v>
          </cell>
          <cell r="AB112">
            <v>-21763600</v>
          </cell>
          <cell r="AC112">
            <v>-1523877.2781848379</v>
          </cell>
          <cell r="AE112">
            <v>-199205.32</v>
          </cell>
          <cell r="AF112">
            <v>-199205.32</v>
          </cell>
          <cell r="AG112">
            <v>-2531800</v>
          </cell>
          <cell r="AH112">
            <v>-177275.47340092505</v>
          </cell>
          <cell r="AJ112">
            <v>-21731300</v>
          </cell>
          <cell r="AK112">
            <v>-21731300</v>
          </cell>
          <cell r="AL112">
            <v>-1690850.31</v>
          </cell>
          <cell r="AM112">
            <v>-1690850.31</v>
          </cell>
          <cell r="AN112">
            <v>-1521615.6470169534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113" t="str">
            <v>TALFIIA</v>
          </cell>
          <cell r="E113" t="e">
            <v>#N/A</v>
          </cell>
          <cell r="F113">
            <v>178654850.30000001</v>
          </cell>
          <cell r="G113" t="e">
            <v>#N/A</v>
          </cell>
          <cell r="H113">
            <v>167741085.94542128</v>
          </cell>
          <cell r="J113" t="e">
            <v>#N/A</v>
          </cell>
          <cell r="K113">
            <v>178654850.30000001</v>
          </cell>
          <cell r="M113" t="e">
            <v>#N/A</v>
          </cell>
          <cell r="N113">
            <v>1863862581.96</v>
          </cell>
          <cell r="O113" t="e">
            <v>#N/A</v>
          </cell>
          <cell r="P113">
            <v>1786921261.8712368</v>
          </cell>
          <cell r="R113" t="e">
            <v>#N/A</v>
          </cell>
          <cell r="S113">
            <v>1863862581.96</v>
          </cell>
          <cell r="U113" t="e">
            <v>#N/A</v>
          </cell>
          <cell r="V113">
            <v>19223943.93</v>
          </cell>
          <cell r="W113" t="e">
            <v>#N/A</v>
          </cell>
          <cell r="X113">
            <v>18137220.974036191</v>
          </cell>
          <cell r="Z113" t="e">
            <v>#N/A</v>
          </cell>
          <cell r="AA113">
            <v>219259491.93000004</v>
          </cell>
          <cell r="AB113" t="e">
            <v>#N/A</v>
          </cell>
          <cell r="AC113">
            <v>210911623.34656748</v>
          </cell>
          <cell r="AE113" t="e">
            <v>#N/A</v>
          </cell>
          <cell r="AF113">
            <v>15808813.250000004</v>
          </cell>
          <cell r="AG113" t="e">
            <v>#N/A</v>
          </cell>
          <cell r="AH113">
            <v>14911730.873702405</v>
          </cell>
          <cell r="AJ113" t="e">
            <v>#N/A</v>
          </cell>
          <cell r="AK113">
            <v>0</v>
          </cell>
          <cell r="AL113" t="e">
            <v>#N/A</v>
          </cell>
          <cell r="AM113">
            <v>185123030.52999994</v>
          </cell>
          <cell r="AN113">
            <v>177962371.49617964</v>
          </cell>
          <cell r="AP113" t="e">
            <v>#N/A</v>
          </cell>
          <cell r="AQ113">
            <v>0</v>
          </cell>
          <cell r="AR113" t="e">
            <v>#N/A</v>
          </cell>
          <cell r="AS113">
            <v>0</v>
          </cell>
          <cell r="AU113" t="e">
            <v>#N/A</v>
          </cell>
          <cell r="AV113">
            <v>0</v>
          </cell>
          <cell r="AW113" t="e">
            <v>#N/A</v>
          </cell>
          <cell r="AX113">
            <v>-94093.1</v>
          </cell>
        </row>
        <row r="114">
          <cell r="A114" t="str">
            <v>AAQ</v>
          </cell>
          <cell r="B114" t="str">
            <v>Amylum Aquitaine</v>
          </cell>
          <cell r="C114" t="str">
            <v>EUR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</row>
        <row r="115">
          <cell r="A115" t="str">
            <v>ACO</v>
          </cell>
          <cell r="B115" t="str">
            <v>Amycor</v>
          </cell>
          <cell r="C115" t="str">
            <v>EUR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-3974.62</v>
          </cell>
          <cell r="AA115">
            <v>-3974.62</v>
          </cell>
          <cell r="AB115">
            <v>-5006.97</v>
          </cell>
          <cell r="AC115">
            <v>-3708.8666666666668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43798.729999999996</v>
          </cell>
          <cell r="AK115">
            <v>43798.729999999996</v>
          </cell>
          <cell r="AL115">
            <v>34714.639999999999</v>
          </cell>
          <cell r="AM115">
            <v>34714.639999999999</v>
          </cell>
          <cell r="AN115">
            <v>32443.5037037037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</row>
        <row r="116">
          <cell r="A116" t="str">
            <v>ADE</v>
          </cell>
          <cell r="B116" t="str">
            <v>Amylum Deutschland</v>
          </cell>
          <cell r="C116" t="str">
            <v>EUR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U116">
            <v>-15873.01</v>
          </cell>
          <cell r="V116">
            <v>-15873.01</v>
          </cell>
          <cell r="W116">
            <v>-20000</v>
          </cell>
          <cell r="X116">
            <v>-14814.814814814814</v>
          </cell>
          <cell r="Z116">
            <v>263038.21999999997</v>
          </cell>
          <cell r="AA116">
            <v>263038.21999999997</v>
          </cell>
          <cell r="AB116">
            <v>331874.63</v>
          </cell>
          <cell r="AC116">
            <v>245833.05925925926</v>
          </cell>
          <cell r="AE116">
            <v>-15873.01</v>
          </cell>
          <cell r="AF116">
            <v>-15873.01</v>
          </cell>
          <cell r="AG116">
            <v>-20000</v>
          </cell>
          <cell r="AH116">
            <v>-14814.814814814814</v>
          </cell>
          <cell r="AJ116">
            <v>290908.61</v>
          </cell>
          <cell r="AK116">
            <v>290908.61</v>
          </cell>
          <cell r="AL116">
            <v>230568.47999999998</v>
          </cell>
          <cell r="AM116">
            <v>230568.47999999998</v>
          </cell>
          <cell r="AN116">
            <v>215487.85925925925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</row>
        <row r="117">
          <cell r="A117" t="str">
            <v>ADS</v>
          </cell>
          <cell r="B117" t="str">
            <v>Amylum distribution services</v>
          </cell>
          <cell r="C117" t="str">
            <v>EUR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</row>
        <row r="118">
          <cell r="A118" t="str">
            <v>AHE</v>
          </cell>
          <cell r="B118" t="str">
            <v>Amylum Hellas</v>
          </cell>
          <cell r="C118" t="str">
            <v>EUR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J118">
            <v>0</v>
          </cell>
          <cell r="K118">
            <v>0</v>
          </cell>
          <cell r="M118">
            <v>18387514.289999999</v>
          </cell>
          <cell r="N118">
            <v>18387514.289999999</v>
          </cell>
          <cell r="O118">
            <v>23194700</v>
          </cell>
          <cell r="P118">
            <v>17181259.259259257</v>
          </cell>
          <cell r="R118">
            <v>18387514.289999999</v>
          </cell>
          <cell r="S118">
            <v>18387514.289999999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Z118">
            <v>-1451489.3</v>
          </cell>
          <cell r="AA118">
            <v>-1451489.3</v>
          </cell>
          <cell r="AB118">
            <v>-1831100</v>
          </cell>
          <cell r="AC118">
            <v>-1356370.3703703703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-1767900</v>
          </cell>
          <cell r="AK118">
            <v>-1767900</v>
          </cell>
          <cell r="AL118">
            <v>-1401430.11</v>
          </cell>
          <cell r="AM118">
            <v>-1401430.11</v>
          </cell>
          <cell r="AN118">
            <v>-1309555.5555555555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 t="str">
            <v>AMA</v>
          </cell>
          <cell r="B119" t="str">
            <v>Amylum Maghreb</v>
          </cell>
          <cell r="C119" t="str">
            <v>MAD</v>
          </cell>
          <cell r="E119">
            <v>1242046.25</v>
          </cell>
          <cell r="F119">
            <v>1242046.25</v>
          </cell>
          <cell r="G119">
            <v>17724000</v>
          </cell>
          <cell r="H119">
            <v>1165727.5301108758</v>
          </cell>
          <cell r="J119">
            <v>1242046.25</v>
          </cell>
          <cell r="K119">
            <v>1242046.25</v>
          </cell>
          <cell r="M119">
            <v>14620534.699999999</v>
          </cell>
          <cell r="N119">
            <v>14620534.699999999</v>
          </cell>
          <cell r="O119">
            <v>209476819.25</v>
          </cell>
          <cell r="P119">
            <v>13777527.370784521</v>
          </cell>
          <cell r="R119">
            <v>14620534.699999999</v>
          </cell>
          <cell r="S119">
            <v>14620534.699999999</v>
          </cell>
          <cell r="U119">
            <v>79166.09</v>
          </cell>
          <cell r="V119">
            <v>79166.09</v>
          </cell>
          <cell r="W119">
            <v>1129700</v>
          </cell>
          <cell r="X119">
            <v>74301.646962663988</v>
          </cell>
          <cell r="Z119">
            <v>1474397.49</v>
          </cell>
          <cell r="AA119">
            <v>1474397.49</v>
          </cell>
          <cell r="AB119">
            <v>21141232.060000002</v>
          </cell>
          <cell r="AC119">
            <v>1390482.7484092002</v>
          </cell>
          <cell r="AE119">
            <v>81177.3</v>
          </cell>
          <cell r="AF119">
            <v>81177.3</v>
          </cell>
          <cell r="AG119">
            <v>1158400</v>
          </cell>
          <cell r="AH119">
            <v>76189.278429273225</v>
          </cell>
          <cell r="AJ119">
            <v>22522298.640000001</v>
          </cell>
          <cell r="AK119">
            <v>22522298.640000001</v>
          </cell>
          <cell r="AL119">
            <v>1570649.95</v>
          </cell>
          <cell r="AM119">
            <v>1570649.95</v>
          </cell>
          <cell r="AN119">
            <v>1481317.05969458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 t="str">
            <v>ANE</v>
          </cell>
          <cell r="B120" t="str">
            <v>Amylum Nederland</v>
          </cell>
          <cell r="C120" t="str">
            <v>EUR</v>
          </cell>
          <cell r="E120">
            <v>13962698.41</v>
          </cell>
          <cell r="F120">
            <v>13962698.41</v>
          </cell>
          <cell r="G120">
            <v>17593000</v>
          </cell>
          <cell r="H120">
            <v>13031851.851851851</v>
          </cell>
          <cell r="J120">
            <v>13962698.41</v>
          </cell>
          <cell r="K120">
            <v>13962698.41</v>
          </cell>
          <cell r="M120">
            <v>189285015.31</v>
          </cell>
          <cell r="N120">
            <v>189285015.31</v>
          </cell>
          <cell r="O120">
            <v>238628492.31999999</v>
          </cell>
          <cell r="P120">
            <v>176761846.16296294</v>
          </cell>
          <cell r="R120">
            <v>189285015.31</v>
          </cell>
          <cell r="S120">
            <v>189285015.31</v>
          </cell>
          <cell r="U120">
            <v>929285.72</v>
          </cell>
          <cell r="V120">
            <v>929285.72</v>
          </cell>
          <cell r="W120">
            <v>1170900</v>
          </cell>
          <cell r="X120">
            <v>867333.33333333326</v>
          </cell>
          <cell r="Z120">
            <v>15561733.710000001</v>
          </cell>
          <cell r="AA120">
            <v>15561733.710000001</v>
          </cell>
          <cell r="AB120">
            <v>19613381.75</v>
          </cell>
          <cell r="AC120">
            <v>14528430.925925925</v>
          </cell>
          <cell r="AE120">
            <v>801587.29999999993</v>
          </cell>
          <cell r="AF120">
            <v>801587.29999999993</v>
          </cell>
          <cell r="AG120">
            <v>1010000</v>
          </cell>
          <cell r="AH120">
            <v>748148.14814814809</v>
          </cell>
          <cell r="AJ120">
            <v>17054163.539999999</v>
          </cell>
          <cell r="AK120">
            <v>17054163.539999999</v>
          </cell>
          <cell r="AL120">
            <v>13531436.680000002</v>
          </cell>
          <cell r="AM120">
            <v>13531436.680000002</v>
          </cell>
          <cell r="AN120">
            <v>12632713.733333332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 t="str">
            <v>APL</v>
          </cell>
          <cell r="B121" t="str">
            <v>APL</v>
          </cell>
          <cell r="C121" t="str">
            <v>EUR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  <cell r="S121">
            <v>0</v>
          </cell>
          <cell r="U121">
            <v>15873.01</v>
          </cell>
          <cell r="V121">
            <v>15873.01</v>
          </cell>
          <cell r="W121">
            <v>20000</v>
          </cell>
          <cell r="X121">
            <v>14814.814814814814</v>
          </cell>
          <cell r="Z121">
            <v>478815.36</v>
          </cell>
          <cell r="AA121">
            <v>478815.36</v>
          </cell>
          <cell r="AB121">
            <v>603800</v>
          </cell>
          <cell r="AC121">
            <v>447259.25925925921</v>
          </cell>
          <cell r="AE121">
            <v>15873.01</v>
          </cell>
          <cell r="AF121">
            <v>15873.01</v>
          </cell>
          <cell r="AG121">
            <v>20000</v>
          </cell>
          <cell r="AH121">
            <v>14814.814814814814</v>
          </cell>
          <cell r="AJ121">
            <v>604400</v>
          </cell>
          <cell r="AK121">
            <v>604400</v>
          </cell>
          <cell r="AL121">
            <v>479290.89</v>
          </cell>
          <cell r="AM121">
            <v>479290.89</v>
          </cell>
          <cell r="AN121">
            <v>447703.70370370365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A122" t="str">
            <v>EBR</v>
          </cell>
          <cell r="B122" t="str">
            <v>Ebromyl</v>
          </cell>
          <cell r="C122" t="str">
            <v>EUR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11241.720000000001</v>
          </cell>
          <cell r="AK122">
            <v>11241.720000000001</v>
          </cell>
          <cell r="AL122">
            <v>8911.4500000000007</v>
          </cell>
          <cell r="AM122">
            <v>8911.4500000000007</v>
          </cell>
          <cell r="AN122">
            <v>8327.2000000000007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A123" t="str">
            <v>EUR</v>
          </cell>
          <cell r="B123" t="str">
            <v>Euramyl</v>
          </cell>
          <cell r="C123" t="str">
            <v>EUR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</row>
        <row r="124">
          <cell r="A124" t="str">
            <v>NGI</v>
          </cell>
          <cell r="B124" t="str">
            <v>NGI</v>
          </cell>
          <cell r="C124" t="str">
            <v>EUR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207373.99</v>
          </cell>
          <cell r="AK124">
            <v>207373.99</v>
          </cell>
          <cell r="AL124">
            <v>164387.76999999999</v>
          </cell>
          <cell r="AM124">
            <v>164387.76999999999</v>
          </cell>
          <cell r="AN124">
            <v>153610.36296296294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A125" t="str">
            <v>FIEADJ</v>
          </cell>
          <cell r="B125" t="str">
            <v>Food Ingredients Europe Adj</v>
          </cell>
          <cell r="C125" t="str">
            <v>EUR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  <cell r="S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U125">
            <v>0</v>
          </cell>
          <cell r="AV125">
            <v>0</v>
          </cell>
          <cell r="AX125">
            <v>0</v>
          </cell>
        </row>
        <row r="126">
          <cell r="A126" t="str">
            <v>TBE</v>
          </cell>
          <cell r="B126" t="str">
            <v>Tate &amp; Lyle Belgium NV</v>
          </cell>
          <cell r="C126" t="str">
            <v>EUR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  <cell r="S126">
            <v>0</v>
          </cell>
          <cell r="U126">
            <v>7936.5</v>
          </cell>
          <cell r="V126">
            <v>7936.5</v>
          </cell>
          <cell r="W126">
            <v>10000</v>
          </cell>
          <cell r="X126">
            <v>7407.4074074074069</v>
          </cell>
          <cell r="Z126">
            <v>97351.13</v>
          </cell>
          <cell r="AA126">
            <v>97351.13</v>
          </cell>
          <cell r="AB126">
            <v>122300</v>
          </cell>
          <cell r="AC126">
            <v>90592.592592592584</v>
          </cell>
          <cell r="AE126">
            <v>5555.55</v>
          </cell>
          <cell r="AF126">
            <v>5555.55</v>
          </cell>
          <cell r="AG126">
            <v>7000</v>
          </cell>
          <cell r="AH126">
            <v>5185.1851851851852</v>
          </cell>
          <cell r="AJ126">
            <v>-11000</v>
          </cell>
          <cell r="AK126">
            <v>-11000</v>
          </cell>
          <cell r="AL126">
            <v>-8332.11</v>
          </cell>
          <cell r="AM126">
            <v>-8332.11</v>
          </cell>
          <cell r="AN126">
            <v>-8148.1481481481478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U126">
            <v>0</v>
          </cell>
          <cell r="AV126">
            <v>0</v>
          </cell>
          <cell r="AX126">
            <v>0</v>
          </cell>
        </row>
        <row r="127">
          <cell r="A127" t="str">
            <v>TLSB</v>
          </cell>
          <cell r="B127" t="str">
            <v>Tate &amp; Lyle Services Belgium</v>
          </cell>
          <cell r="C127" t="str">
            <v>EUR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U127">
            <v>3968.26</v>
          </cell>
          <cell r="V127">
            <v>3968.26</v>
          </cell>
          <cell r="W127">
            <v>5000</v>
          </cell>
          <cell r="X127">
            <v>3703.7037037037035</v>
          </cell>
          <cell r="Z127">
            <v>-135449.32</v>
          </cell>
          <cell r="AA127">
            <v>-135449.32</v>
          </cell>
          <cell r="AB127">
            <v>-170900</v>
          </cell>
          <cell r="AC127">
            <v>-126592.59259259258</v>
          </cell>
          <cell r="AE127">
            <v>30396.83</v>
          </cell>
          <cell r="AF127">
            <v>30396.83</v>
          </cell>
          <cell r="AG127">
            <v>38300</v>
          </cell>
          <cell r="AH127">
            <v>28370.370370370369</v>
          </cell>
          <cell r="AJ127">
            <v>392400</v>
          </cell>
          <cell r="AK127">
            <v>392400</v>
          </cell>
          <cell r="AL127">
            <v>311257</v>
          </cell>
          <cell r="AM127">
            <v>311257</v>
          </cell>
          <cell r="AN127">
            <v>290666.66666666663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U127">
            <v>0</v>
          </cell>
          <cell r="AV127">
            <v>0</v>
          </cell>
          <cell r="AX127">
            <v>0</v>
          </cell>
        </row>
        <row r="128">
          <cell r="A128" t="str">
            <v>TLSS</v>
          </cell>
          <cell r="B128" t="str">
            <v>Tate &amp; Lyle Slovakia Services</v>
          </cell>
          <cell r="C128" t="str">
            <v>SKK</v>
          </cell>
          <cell r="E128">
            <v>18138010.469999999</v>
          </cell>
          <cell r="F128">
            <v>18138010.469999999</v>
          </cell>
          <cell r="G128">
            <v>692872000</v>
          </cell>
          <cell r="H128">
            <v>15403271.681297809</v>
          </cell>
          <cell r="J128">
            <v>18138010.469999999</v>
          </cell>
          <cell r="K128">
            <v>18138010.469999999</v>
          </cell>
          <cell r="M128">
            <v>241841801.84999999</v>
          </cell>
          <cell r="N128">
            <v>241841801.84999999</v>
          </cell>
          <cell r="O128">
            <v>9328804500</v>
          </cell>
          <cell r="P128">
            <v>207389113.97085401</v>
          </cell>
          <cell r="R128">
            <v>241841801.84999999</v>
          </cell>
          <cell r="S128">
            <v>241841801.84999999</v>
          </cell>
          <cell r="U128">
            <v>-499321.99</v>
          </cell>
          <cell r="V128">
            <v>-499321.99</v>
          </cell>
          <cell r="W128">
            <v>-19074100</v>
          </cell>
          <cell r="X128">
            <v>-424037.25995023979</v>
          </cell>
          <cell r="Z128">
            <v>-4966934.6500000004</v>
          </cell>
          <cell r="AA128">
            <v>-4966934.6500000004</v>
          </cell>
          <cell r="AB128">
            <v>-193335400</v>
          </cell>
          <cell r="AC128">
            <v>-4298048.8341459669</v>
          </cell>
          <cell r="AE128">
            <v>-609099.48</v>
          </cell>
          <cell r="AF128">
            <v>-609099.48</v>
          </cell>
          <cell r="AG128">
            <v>-23267600</v>
          </cell>
          <cell r="AH128">
            <v>-517263.16573878715</v>
          </cell>
          <cell r="AJ128">
            <v>-224293200</v>
          </cell>
          <cell r="AK128">
            <v>-224293200</v>
          </cell>
          <cell r="AL128">
            <v>-5791174.4600000009</v>
          </cell>
          <cell r="AM128">
            <v>-5791174.4600000009</v>
          </cell>
          <cell r="AN128">
            <v>-4986273.2162183868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U128">
            <v>0</v>
          </cell>
          <cell r="AV128">
            <v>0</v>
          </cell>
          <cell r="AX128">
            <v>0</v>
          </cell>
        </row>
        <row r="129">
          <cell r="A129" t="str">
            <v>ABO</v>
          </cell>
          <cell r="B129" t="str">
            <v>Amylum Bohemia</v>
          </cell>
          <cell r="C129" t="str">
            <v>CZK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 t="str">
            <v>ABU</v>
          </cell>
          <cell r="B130" t="str">
            <v>Amylum Bulgaria</v>
          </cell>
          <cell r="C130" t="str">
            <v>BGL</v>
          </cell>
          <cell r="E130">
            <v>4149125.31</v>
          </cell>
          <cell r="F130">
            <v>4149125.31</v>
          </cell>
          <cell r="G130">
            <v>10198550</v>
          </cell>
          <cell r="H130">
            <v>3895266.2104727617</v>
          </cell>
          <cell r="J130">
            <v>4149125.31</v>
          </cell>
          <cell r="K130">
            <v>4149125.31</v>
          </cell>
          <cell r="M130">
            <v>48939062.729999997</v>
          </cell>
          <cell r="N130">
            <v>48939062.729999997</v>
          </cell>
          <cell r="O130">
            <v>120457600</v>
          </cell>
          <cell r="P130">
            <v>46007953.981168278</v>
          </cell>
          <cell r="R130">
            <v>48939062.729999997</v>
          </cell>
          <cell r="S130">
            <v>48939062.729999997</v>
          </cell>
          <cell r="U130">
            <v>758563.89</v>
          </cell>
          <cell r="V130">
            <v>758563.89</v>
          </cell>
          <cell r="W130">
            <v>1864550</v>
          </cell>
          <cell r="X130">
            <v>712152.08169170993</v>
          </cell>
          <cell r="Z130">
            <v>5574412.1900000004</v>
          </cell>
          <cell r="AA130">
            <v>5574412.1900000004</v>
          </cell>
          <cell r="AB130">
            <v>13712400</v>
          </cell>
          <cell r="AC130">
            <v>5237357.1129706381</v>
          </cell>
          <cell r="AE130">
            <v>721419.86</v>
          </cell>
          <cell r="AF130">
            <v>721419.86</v>
          </cell>
          <cell r="AG130">
            <v>1773250</v>
          </cell>
          <cell r="AH130">
            <v>677280.6730094793</v>
          </cell>
          <cell r="AJ130">
            <v>12641050</v>
          </cell>
          <cell r="AK130">
            <v>12641050</v>
          </cell>
          <cell r="AL130">
            <v>5139375.99</v>
          </cell>
          <cell r="AM130">
            <v>5139375.99</v>
          </cell>
          <cell r="AN130">
            <v>4828162.3299289318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 t="str">
            <v>ANI</v>
          </cell>
          <cell r="B131" t="str">
            <v>Amylum Nisasta</v>
          </cell>
          <cell r="C131" t="str">
            <v>USD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 t="str">
            <v>ANI_TL</v>
          </cell>
          <cell r="B132" t="str">
            <v>Amylum Nisasta (TL)</v>
          </cell>
          <cell r="C132" t="str">
            <v>TRL</v>
          </cell>
          <cell r="E132">
            <v>3037772.72</v>
          </cell>
          <cell r="F132">
            <v>3037772.72</v>
          </cell>
          <cell r="G132">
            <v>6683100</v>
          </cell>
          <cell r="H132">
            <v>2865052.0241591907</v>
          </cell>
          <cell r="J132">
            <v>3037772.72</v>
          </cell>
          <cell r="K132">
            <v>3037772.72</v>
          </cell>
          <cell r="M132">
            <v>45829717.979999997</v>
          </cell>
          <cell r="N132">
            <v>45829717.979999997</v>
          </cell>
          <cell r="O132">
            <v>106001300</v>
          </cell>
          <cell r="P132">
            <v>45442869.19670596</v>
          </cell>
          <cell r="R132">
            <v>45829717.979999997</v>
          </cell>
          <cell r="S132">
            <v>45829717.979999997</v>
          </cell>
          <cell r="U132">
            <v>370704.56</v>
          </cell>
          <cell r="V132">
            <v>370704.56</v>
          </cell>
          <cell r="W132">
            <v>815550</v>
          </cell>
          <cell r="X132">
            <v>349627.14583098085</v>
          </cell>
          <cell r="Z132">
            <v>7852692.0899999999</v>
          </cell>
          <cell r="AA132">
            <v>7852692.0899999999</v>
          </cell>
          <cell r="AB132">
            <v>18387750</v>
          </cell>
          <cell r="AC132">
            <v>7882847.8336749654</v>
          </cell>
          <cell r="AE132">
            <v>411227.28</v>
          </cell>
          <cell r="AF132">
            <v>411227.28</v>
          </cell>
          <cell r="AG132">
            <v>904700</v>
          </cell>
          <cell r="AH132">
            <v>387845.84493076865</v>
          </cell>
          <cell r="AJ132">
            <v>18831150</v>
          </cell>
          <cell r="AK132">
            <v>18831150</v>
          </cell>
          <cell r="AL132">
            <v>8053225.9799999995</v>
          </cell>
          <cell r="AM132">
            <v>8053225.9799999995</v>
          </cell>
          <cell r="AN132">
            <v>8072933.8816934275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</row>
        <row r="133">
          <cell r="A133" t="str">
            <v>ARO</v>
          </cell>
          <cell r="B133" t="str">
            <v>ARO</v>
          </cell>
          <cell r="C133" t="str">
            <v>ROL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</row>
        <row r="134">
          <cell r="A134" t="str">
            <v>ARO_NL</v>
          </cell>
          <cell r="C134" t="str">
            <v>RONL</v>
          </cell>
          <cell r="E134">
            <v>186134.86</v>
          </cell>
          <cell r="F134">
            <v>186134.86</v>
          </cell>
          <cell r="G134">
            <v>832953.47</v>
          </cell>
          <cell r="H134">
            <v>167231.30965359093</v>
          </cell>
          <cell r="J134">
            <v>186134.86</v>
          </cell>
          <cell r="K134">
            <v>186134.86</v>
          </cell>
          <cell r="M134">
            <v>2811883.77</v>
          </cell>
          <cell r="N134">
            <v>2811883.77</v>
          </cell>
          <cell r="O134">
            <v>12686552.66</v>
          </cell>
          <cell r="P134">
            <v>2547067.6247030315</v>
          </cell>
          <cell r="R134">
            <v>2811883.77</v>
          </cell>
          <cell r="S134">
            <v>2811883.77</v>
          </cell>
          <cell r="U134">
            <v>-18976.599999999999</v>
          </cell>
          <cell r="V134">
            <v>-18976.599999999999</v>
          </cell>
          <cell r="W134">
            <v>-84920.21</v>
          </cell>
          <cell r="X134">
            <v>-17049.35323020861</v>
          </cell>
          <cell r="Z134">
            <v>-485415.45</v>
          </cell>
          <cell r="AA134">
            <v>-485415.45</v>
          </cell>
          <cell r="AB134">
            <v>-2197043.35</v>
          </cell>
          <cell r="AC134">
            <v>-441098.39267037663</v>
          </cell>
          <cell r="AE134">
            <v>-18632.37</v>
          </cell>
          <cell r="AF134">
            <v>-18632.37</v>
          </cell>
          <cell r="AG134">
            <v>-83379.820000000007</v>
          </cell>
          <cell r="AH134">
            <v>-16740.090532644852</v>
          </cell>
          <cell r="AJ134">
            <v>-2089663.26</v>
          </cell>
          <cell r="AK134">
            <v>-2089663.26</v>
          </cell>
          <cell r="AL134">
            <v>-461766.48</v>
          </cell>
          <cell r="AM134">
            <v>-461766.48</v>
          </cell>
          <cell r="AN134">
            <v>-419539.78978536738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</row>
        <row r="135">
          <cell r="A135" t="str">
            <v>ASL</v>
          </cell>
          <cell r="B135" t="str">
            <v>Amylum Slovakia</v>
          </cell>
          <cell r="C135" t="str">
            <v>SKK</v>
          </cell>
          <cell r="E135">
            <v>7386774.8700000001</v>
          </cell>
          <cell r="F135">
            <v>7386774.8700000001</v>
          </cell>
          <cell r="G135">
            <v>282174800</v>
          </cell>
          <cell r="H135">
            <v>6273041.9269589093</v>
          </cell>
          <cell r="J135">
            <v>7386774.8700000001</v>
          </cell>
          <cell r="K135">
            <v>7386774.8700000001</v>
          </cell>
          <cell r="M135">
            <v>78716127.989999995</v>
          </cell>
          <cell r="N135">
            <v>78716127.989999995</v>
          </cell>
          <cell r="O135">
            <v>3028823450</v>
          </cell>
          <cell r="P135">
            <v>67333923.83446832</v>
          </cell>
          <cell r="R135">
            <v>78716127.989999995</v>
          </cell>
          <cell r="S135">
            <v>78716127.989999995</v>
          </cell>
          <cell r="U135">
            <v>350306.3</v>
          </cell>
          <cell r="V135">
            <v>350306.3</v>
          </cell>
          <cell r="W135">
            <v>13381700</v>
          </cell>
          <cell r="X135">
            <v>297489.23416969209</v>
          </cell>
          <cell r="Z135">
            <v>2501951.09</v>
          </cell>
          <cell r="AA135">
            <v>2501951.09</v>
          </cell>
          <cell r="AB135">
            <v>95651600</v>
          </cell>
          <cell r="AC135">
            <v>2126435.4477462294</v>
          </cell>
          <cell r="AE135">
            <v>353831.17</v>
          </cell>
          <cell r="AF135">
            <v>353831.17</v>
          </cell>
          <cell r="AG135">
            <v>13516350</v>
          </cell>
          <cell r="AH135">
            <v>300482.64497556497</v>
          </cell>
          <cell r="AJ135">
            <v>97755950</v>
          </cell>
          <cell r="AK135">
            <v>97755950</v>
          </cell>
          <cell r="AL135">
            <v>2557104.9499999997</v>
          </cell>
          <cell r="AM135">
            <v>2557104.9499999997</v>
          </cell>
          <cell r="AN135">
            <v>2173217.3566161781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</row>
        <row r="136">
          <cell r="A136" t="str">
            <v>ESC</v>
          </cell>
          <cell r="B136" t="str">
            <v>Eaststarch</v>
          </cell>
          <cell r="C136" t="str">
            <v>EUR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J136">
            <v>0</v>
          </cell>
          <cell r="K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U136">
            <v>-317.45999999999998</v>
          </cell>
          <cell r="V136">
            <v>-317.45999999999998</v>
          </cell>
          <cell r="W136">
            <v>-400</v>
          </cell>
          <cell r="X136">
            <v>-296.2962962962963</v>
          </cell>
          <cell r="Z136">
            <v>-3807.68</v>
          </cell>
          <cell r="AA136">
            <v>-3807.68</v>
          </cell>
          <cell r="AB136">
            <v>-4800</v>
          </cell>
          <cell r="AC136">
            <v>-3555.5555555555552</v>
          </cell>
          <cell r="AE136">
            <v>104206.34999999999</v>
          </cell>
          <cell r="AF136">
            <v>104206.34999999999</v>
          </cell>
          <cell r="AG136">
            <v>131300</v>
          </cell>
          <cell r="AH136">
            <v>97259.259259259255</v>
          </cell>
          <cell r="AJ136">
            <v>1606700</v>
          </cell>
          <cell r="AK136">
            <v>1606700</v>
          </cell>
          <cell r="AL136">
            <v>1274529.32</v>
          </cell>
          <cell r="AM136">
            <v>1274529.32</v>
          </cell>
          <cell r="AN136">
            <v>1190148.1481481481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</row>
        <row r="137">
          <cell r="A137" t="str">
            <v>HUN</v>
          </cell>
          <cell r="B137" t="str">
            <v>Hungrana</v>
          </cell>
          <cell r="C137" t="str">
            <v>HUF</v>
          </cell>
          <cell r="E137">
            <v>5053994.53</v>
          </cell>
          <cell r="F137">
            <v>5053994.53</v>
          </cell>
          <cell r="G137">
            <v>1526306350</v>
          </cell>
          <cell r="H137">
            <v>4402225.8966732696</v>
          </cell>
          <cell r="J137">
            <v>5053994.53</v>
          </cell>
          <cell r="K137">
            <v>5053994.53</v>
          </cell>
          <cell r="M137">
            <v>57960846.490000002</v>
          </cell>
          <cell r="N137">
            <v>57960846.490000002</v>
          </cell>
          <cell r="O137">
            <v>17584210625</v>
          </cell>
          <cell r="P137">
            <v>50716992.290526904</v>
          </cell>
          <cell r="R137">
            <v>57960846.490000002</v>
          </cell>
          <cell r="S137">
            <v>57960846.490000002</v>
          </cell>
          <cell r="U137">
            <v>593230.39</v>
          </cell>
          <cell r="V137">
            <v>593230.39</v>
          </cell>
          <cell r="W137">
            <v>179155575</v>
          </cell>
          <cell r="X137">
            <v>516726.74479693425</v>
          </cell>
          <cell r="Z137">
            <v>3829516.73</v>
          </cell>
          <cell r="AA137">
            <v>3829516.73</v>
          </cell>
          <cell r="AB137">
            <v>1166059700</v>
          </cell>
          <cell r="AC137">
            <v>3363189.970615705</v>
          </cell>
          <cell r="AE137">
            <v>465750.34</v>
          </cell>
          <cell r="AF137">
            <v>465750.34</v>
          </cell>
          <cell r="AG137">
            <v>140656600</v>
          </cell>
          <cell r="AH137">
            <v>405686.66117258405</v>
          </cell>
          <cell r="AJ137">
            <v>658827050</v>
          </cell>
          <cell r="AK137">
            <v>658827050</v>
          </cell>
          <cell r="AL137">
            <v>2157582.81</v>
          </cell>
          <cell r="AM137">
            <v>2157582.81</v>
          </cell>
          <cell r="AN137">
            <v>1900211.9076153061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</row>
        <row r="138">
          <cell r="A138" t="str">
            <v>JVADJ</v>
          </cell>
          <cell r="C138" t="str">
            <v>EUR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 t="str">
            <v>SED</v>
          </cell>
          <cell r="B139" t="str">
            <v>SED</v>
          </cell>
          <cell r="C139" t="str">
            <v>EUR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 t="str">
            <v>SAO</v>
          </cell>
          <cell r="B140" t="str">
            <v>SAO</v>
          </cell>
          <cell r="C140" t="str">
            <v>EUR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</row>
        <row r="141">
          <cell r="A141" t="str">
            <v>MAG</v>
          </cell>
          <cell r="B141" t="str">
            <v>MAG</v>
          </cell>
          <cell r="C141" t="str">
            <v>EUR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</row>
        <row r="142">
          <cell r="A142" t="str">
            <v>SZS</v>
          </cell>
          <cell r="B142" t="str">
            <v>SZS</v>
          </cell>
          <cell r="C142" t="str">
            <v>HUF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J142">
            <v>0</v>
          </cell>
          <cell r="K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U142">
            <v>-4523.17</v>
          </cell>
          <cell r="V142">
            <v>-4523.17</v>
          </cell>
          <cell r="W142">
            <v>-1366000</v>
          </cell>
          <cell r="X142">
            <v>-3939.8647426551602</v>
          </cell>
          <cell r="Z142">
            <v>-56526.19</v>
          </cell>
          <cell r="AA142">
            <v>-56526.19</v>
          </cell>
          <cell r="AB142">
            <v>-17179500</v>
          </cell>
          <cell r="AC142">
            <v>-49549.711820237426</v>
          </cell>
          <cell r="AE142">
            <v>-4523.17</v>
          </cell>
          <cell r="AF142">
            <v>-4523.17</v>
          </cell>
          <cell r="AG142">
            <v>-1366000</v>
          </cell>
          <cell r="AH142">
            <v>-3939.8647426551602</v>
          </cell>
          <cell r="AJ142">
            <v>-17179500</v>
          </cell>
          <cell r="AK142">
            <v>-17179500</v>
          </cell>
          <cell r="AL142">
            <v>-56526.19</v>
          </cell>
          <cell r="AM142">
            <v>-56526.19</v>
          </cell>
          <cell r="AN142">
            <v>-49549.711820237426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 t="str">
            <v>AMGSQ</v>
          </cell>
          <cell r="B143" t="str">
            <v>Amylum Adj Sugar Quay</v>
          </cell>
          <cell r="C143" t="str">
            <v>EUR</v>
          </cell>
          <cell r="E143">
            <v>-456904.76</v>
          </cell>
          <cell r="F143">
            <v>-456904.76</v>
          </cell>
          <cell r="G143">
            <v>-575700</v>
          </cell>
          <cell r="H143">
            <v>-426444.44444444444</v>
          </cell>
          <cell r="J143">
            <v>-456904.76</v>
          </cell>
          <cell r="K143">
            <v>-456904.76</v>
          </cell>
          <cell r="M143">
            <v>-2741428.56</v>
          </cell>
          <cell r="N143">
            <v>-2741428.56</v>
          </cell>
          <cell r="O143">
            <v>-3454200</v>
          </cell>
          <cell r="P143">
            <v>-2558666.6666666665</v>
          </cell>
          <cell r="R143">
            <v>-2741428.56</v>
          </cell>
          <cell r="S143">
            <v>-2741428.56</v>
          </cell>
          <cell r="U143">
            <v>331269.84000000003</v>
          </cell>
          <cell r="V143">
            <v>331269.84000000003</v>
          </cell>
          <cell r="W143">
            <v>417400</v>
          </cell>
          <cell r="X143">
            <v>309185.18518518517</v>
          </cell>
          <cell r="Z143">
            <v>-1721428.58</v>
          </cell>
          <cell r="AA143">
            <v>-1721428.58</v>
          </cell>
          <cell r="AB143">
            <v>-2169000</v>
          </cell>
          <cell r="AC143">
            <v>-1606666.6666666665</v>
          </cell>
          <cell r="AE143">
            <v>331269.84000000003</v>
          </cell>
          <cell r="AF143">
            <v>331269.84000000003</v>
          </cell>
          <cell r="AG143">
            <v>417400</v>
          </cell>
          <cell r="AH143">
            <v>309185.18518518517</v>
          </cell>
          <cell r="AJ143">
            <v>-2169000</v>
          </cell>
          <cell r="AK143">
            <v>-2169000</v>
          </cell>
          <cell r="AL143">
            <v>-1721428.58</v>
          </cell>
          <cell r="AM143">
            <v>-1721428.58</v>
          </cell>
          <cell r="AN143">
            <v>-1606666.6666666665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</row>
        <row r="144">
          <cell r="A144" t="str">
            <v>FIETOT</v>
          </cell>
          <cell r="B144" t="str">
            <v>TALFIIE RETAINED UNITS</v>
          </cell>
          <cell r="C144" t="str">
            <v>EUR</v>
          </cell>
          <cell r="E144">
            <v>52699652.659999996</v>
          </cell>
          <cell r="F144">
            <v>52699652.659999996</v>
          </cell>
          <cell r="G144">
            <v>0</v>
          </cell>
          <cell r="H144">
            <v>46777223.986733809</v>
          </cell>
          <cell r="J144">
            <v>52699652.659999996</v>
          </cell>
          <cell r="K144">
            <v>52699652.659999996</v>
          </cell>
          <cell r="M144">
            <v>695651076.54999995</v>
          </cell>
          <cell r="N144">
            <v>695651076.55000007</v>
          </cell>
          <cell r="O144">
            <v>0</v>
          </cell>
          <cell r="P144">
            <v>624599887.02476656</v>
          </cell>
          <cell r="R144">
            <v>695651076.54999995</v>
          </cell>
          <cell r="S144">
            <v>695651076.55000007</v>
          </cell>
          <cell r="U144">
            <v>2901292.33</v>
          </cell>
          <cell r="V144">
            <v>2901292.33</v>
          </cell>
          <cell r="W144">
            <v>-3700</v>
          </cell>
          <cell r="X144">
            <v>2692603.7088622102</v>
          </cell>
          <cell r="Z144">
            <v>28808882.219999999</v>
          </cell>
          <cell r="AA144">
            <v>28808882.219999999</v>
          </cell>
          <cell r="AB144">
            <v>0</v>
          </cell>
          <cell r="AC144">
            <v>27426837.959965333</v>
          </cell>
          <cell r="AE144">
            <v>2674166.8000000003</v>
          </cell>
          <cell r="AF144">
            <v>2674166.7999999998</v>
          </cell>
          <cell r="AG144">
            <v>-3700</v>
          </cell>
          <cell r="AH144">
            <v>2497690.1296517309</v>
          </cell>
          <cell r="AJ144">
            <v>0</v>
          </cell>
          <cell r="AK144">
            <v>0</v>
          </cell>
          <cell r="AL144">
            <v>26072377.979999997</v>
          </cell>
          <cell r="AM144">
            <v>26072377.979999997</v>
          </cell>
          <cell r="AN144">
            <v>25047210.625131838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U144">
            <v>0</v>
          </cell>
          <cell r="AV144">
            <v>0</v>
          </cell>
          <cell r="AW144">
            <v>-216371.3</v>
          </cell>
          <cell r="AX144">
            <v>0</v>
          </cell>
        </row>
        <row r="145">
          <cell r="A145" t="str">
            <v>AAG</v>
          </cell>
          <cell r="B145" t="str">
            <v>Amylum AG</v>
          </cell>
          <cell r="C145" t="str">
            <v>CHF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A146" t="str">
            <v>AAS</v>
          </cell>
          <cell r="B146" t="str">
            <v>Amylum Asia</v>
          </cell>
          <cell r="C146" t="str">
            <v>HKD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</row>
        <row r="147">
          <cell r="A147" t="str">
            <v>AFR</v>
          </cell>
          <cell r="B147" t="str">
            <v>Amylum France</v>
          </cell>
          <cell r="C147" t="str">
            <v>EUR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</row>
        <row r="148">
          <cell r="A148" t="str">
            <v>AGS</v>
          </cell>
          <cell r="B148" t="str">
            <v>Amylum Group Services</v>
          </cell>
          <cell r="C148" t="str">
            <v>EUR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</row>
        <row r="149">
          <cell r="A149" t="str">
            <v>AIB</v>
          </cell>
          <cell r="B149" t="str">
            <v>Amylum Iberica</v>
          </cell>
          <cell r="C149" t="str">
            <v>EUR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</row>
        <row r="150">
          <cell r="A150" t="str">
            <v>AIM</v>
          </cell>
          <cell r="B150" t="str">
            <v>Amylum Iberica Mediterraneo</v>
          </cell>
          <cell r="C150" t="str">
            <v>EUR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</row>
        <row r="151">
          <cell r="A151" t="str">
            <v>AIT</v>
          </cell>
          <cell r="B151" t="str">
            <v>Amylum Italia</v>
          </cell>
          <cell r="C151" t="str">
            <v>EUR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</row>
        <row r="152">
          <cell r="A152" t="str">
            <v>AMU</v>
          </cell>
          <cell r="B152" t="str">
            <v>Amylum UK</v>
          </cell>
          <cell r="C152" t="str">
            <v>GBP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 t="str">
            <v>ABE</v>
          </cell>
          <cell r="B153" t="str">
            <v>Amylum Belgium</v>
          </cell>
          <cell r="C153" t="str">
            <v>EUR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J153">
            <v>0</v>
          </cell>
          <cell r="K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</row>
        <row r="154">
          <cell r="A154" t="str">
            <v>SBE</v>
          </cell>
          <cell r="B154" t="str">
            <v>Single Billing Entity</v>
          </cell>
          <cell r="C154" t="str">
            <v>EUR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</row>
        <row r="155">
          <cell r="A155" t="str">
            <v>AMGADJ</v>
          </cell>
          <cell r="B155" t="str">
            <v>Amylum Consolidation Adjustment</v>
          </cell>
          <cell r="C155" t="str">
            <v>EUR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</row>
        <row r="156">
          <cell r="A156" t="str">
            <v>AMGGCA</v>
          </cell>
          <cell r="B156" t="str">
            <v>Amylum Group Central Adjustment</v>
          </cell>
          <cell r="C156" t="str">
            <v>EUR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</row>
        <row r="157">
          <cell r="A157" t="str">
            <v>MAG1</v>
          </cell>
          <cell r="B157" t="str">
            <v>Magnolia (Tereos)</v>
          </cell>
          <cell r="C157" t="str">
            <v>EUR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</row>
        <row r="158">
          <cell r="A158" t="str">
            <v>ABO1</v>
          </cell>
          <cell r="B158" t="str">
            <v>Amylum Bohemia (Tereos)</v>
          </cell>
          <cell r="C158" t="str">
            <v>CZK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</row>
        <row r="159">
          <cell r="A159" t="str">
            <v>SAO1</v>
          </cell>
          <cell r="B159" t="str">
            <v>Sedacol (Tereos</v>
          </cell>
          <cell r="C159" t="str">
            <v>EUR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</row>
        <row r="160">
          <cell r="A160" t="str">
            <v>SED1</v>
          </cell>
          <cell r="B160" t="str">
            <v>Sedamyl (Tereos)</v>
          </cell>
          <cell r="C160" t="str">
            <v>EUR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</row>
        <row r="161">
          <cell r="A161" t="str">
            <v>TERTOT</v>
          </cell>
          <cell r="B161" t="str">
            <v>TALFIIE DISPOSED UNITS</v>
          </cell>
          <cell r="C161" t="str">
            <v>EUR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</row>
        <row r="162">
          <cell r="A162" t="str">
            <v>ORGADJ</v>
          </cell>
          <cell r="B162" t="str">
            <v>ORGADJ</v>
          </cell>
          <cell r="C162" t="str">
            <v>EUR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</row>
        <row r="163">
          <cell r="A163" t="str">
            <v>GGP</v>
          </cell>
          <cell r="B163" t="str">
            <v>Orsan China</v>
          </cell>
          <cell r="C163" t="str">
            <v>CNY</v>
          </cell>
          <cell r="E163">
            <v>3335457.73</v>
          </cell>
          <cell r="F163">
            <v>3335457.73</v>
          </cell>
          <cell r="G163">
            <v>42392000</v>
          </cell>
          <cell r="H163">
            <v>2968268.3736519534</v>
          </cell>
          <cell r="J163">
            <v>3335457.73</v>
          </cell>
          <cell r="K163">
            <v>3335457.73</v>
          </cell>
          <cell r="M163">
            <v>37220469.280000001</v>
          </cell>
          <cell r="N163">
            <v>37220469.280000001</v>
          </cell>
          <cell r="O163">
            <v>484344900</v>
          </cell>
          <cell r="P163">
            <v>33913607.487488627</v>
          </cell>
          <cell r="R163">
            <v>37220469.280000001</v>
          </cell>
          <cell r="S163">
            <v>37220469.280000001</v>
          </cell>
          <cell r="U163">
            <v>129053.06999999999</v>
          </cell>
          <cell r="V163">
            <v>129053.06999999999</v>
          </cell>
          <cell r="W163">
            <v>1640200</v>
          </cell>
          <cell r="X163">
            <v>114846.05082241776</v>
          </cell>
          <cell r="Z163">
            <v>-653513.72</v>
          </cell>
          <cell r="AA163">
            <v>-653513.72</v>
          </cell>
          <cell r="AB163">
            <v>-8779000</v>
          </cell>
          <cell r="AC163">
            <v>-614701.54869528441</v>
          </cell>
          <cell r="AE163">
            <v>108257.59999999999</v>
          </cell>
          <cell r="AF163">
            <v>108257.59999999999</v>
          </cell>
          <cell r="AG163">
            <v>1375900</v>
          </cell>
          <cell r="AH163">
            <v>96339.886188613949</v>
          </cell>
          <cell r="AJ163">
            <v>-11940800</v>
          </cell>
          <cell r="AK163">
            <v>-11940800</v>
          </cell>
          <cell r="AL163">
            <v>-895846.65999999992</v>
          </cell>
          <cell r="AM163">
            <v>-895846.65999999992</v>
          </cell>
          <cell r="AN163">
            <v>-836089.3328010767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A164" t="str">
            <v>ORS</v>
          </cell>
          <cell r="B164" t="str">
            <v>Orsan France</v>
          </cell>
          <cell r="C164" t="str">
            <v>EUR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  <cell r="S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A165" t="str">
            <v>OSU</v>
          </cell>
          <cell r="B165" t="str">
            <v>Orsan SA Ltd (UK)</v>
          </cell>
          <cell r="C165" t="str">
            <v>GBP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R165">
            <v>0</v>
          </cell>
          <cell r="S165">
            <v>0</v>
          </cell>
          <cell r="U165">
            <v>17500</v>
          </cell>
          <cell r="V165">
            <v>17500</v>
          </cell>
          <cell r="W165">
            <v>17500</v>
          </cell>
          <cell r="X165">
            <v>17500</v>
          </cell>
          <cell r="Z165">
            <v>275300</v>
          </cell>
          <cell r="AA165">
            <v>275300</v>
          </cell>
          <cell r="AB165">
            <v>275300</v>
          </cell>
          <cell r="AC165">
            <v>275300</v>
          </cell>
          <cell r="AE165">
            <v>22500</v>
          </cell>
          <cell r="AF165">
            <v>22500</v>
          </cell>
          <cell r="AG165">
            <v>22500</v>
          </cell>
          <cell r="AH165">
            <v>22500</v>
          </cell>
          <cell r="AJ165">
            <v>326000</v>
          </cell>
          <cell r="AK165">
            <v>326000</v>
          </cell>
          <cell r="AL165">
            <v>326000</v>
          </cell>
          <cell r="AM165">
            <v>326000</v>
          </cell>
          <cell r="AN165">
            <v>326000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</row>
        <row r="166">
          <cell r="A166" t="str">
            <v>ORGTOT</v>
          </cell>
          <cell r="B166" t="str">
            <v>ORSAN</v>
          </cell>
          <cell r="C166" t="str">
            <v>EUR</v>
          </cell>
          <cell r="E166">
            <v>3335457.73</v>
          </cell>
          <cell r="F166">
            <v>3335457.73</v>
          </cell>
          <cell r="G166">
            <v>42392000</v>
          </cell>
          <cell r="H166">
            <v>2968268.3736519534</v>
          </cell>
          <cell r="J166">
            <v>3335457.73</v>
          </cell>
          <cell r="K166">
            <v>3335457.73</v>
          </cell>
          <cell r="M166">
            <v>37220469.280000001</v>
          </cell>
          <cell r="N166">
            <v>37220469.280000001</v>
          </cell>
          <cell r="O166">
            <v>484344900</v>
          </cell>
          <cell r="P166">
            <v>33913607.487488627</v>
          </cell>
          <cell r="R166">
            <v>37220469.280000001</v>
          </cell>
          <cell r="S166">
            <v>37220469.280000001</v>
          </cell>
          <cell r="U166">
            <v>146553.07</v>
          </cell>
          <cell r="V166">
            <v>146553.07</v>
          </cell>
          <cell r="W166">
            <v>-201700</v>
          </cell>
          <cell r="X166">
            <v>132346.05082241778</v>
          </cell>
          <cell r="Z166">
            <v>-378213.72</v>
          </cell>
          <cell r="AA166">
            <v>-378213.72</v>
          </cell>
          <cell r="AB166">
            <v>-2420200</v>
          </cell>
          <cell r="AC166">
            <v>-339401.54869528441</v>
          </cell>
          <cell r="AE166">
            <v>130757.6</v>
          </cell>
          <cell r="AF166">
            <v>130757.59999999999</v>
          </cell>
          <cell r="AG166">
            <v>-461000</v>
          </cell>
          <cell r="AH166">
            <v>118839.88618861395</v>
          </cell>
          <cell r="AJ166">
            <v>-5531300</v>
          </cell>
          <cell r="AK166">
            <v>-5531300</v>
          </cell>
          <cell r="AL166">
            <v>-569846.65999999992</v>
          </cell>
          <cell r="AM166">
            <v>-569846.65999999992</v>
          </cell>
          <cell r="AN166">
            <v>-510089.3328010767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A167" t="str">
            <v>DOL</v>
          </cell>
          <cell r="B167" t="str">
            <v>Dolcre</v>
          </cell>
          <cell r="C167" t="str">
            <v>ZAR</v>
          </cell>
          <cell r="E167">
            <v>1097701.1499999999</v>
          </cell>
          <cell r="F167">
            <v>1097701.1499999999</v>
          </cell>
          <cell r="G167">
            <v>16235000</v>
          </cell>
          <cell r="H167">
            <v>1093788.1832123704</v>
          </cell>
          <cell r="J167">
            <v>1097701.1499999999</v>
          </cell>
          <cell r="K167">
            <v>1097701.1499999999</v>
          </cell>
          <cell r="M167">
            <v>10363964.949999999</v>
          </cell>
          <cell r="N167">
            <v>10363964.949999999</v>
          </cell>
          <cell r="O167">
            <v>154268700</v>
          </cell>
          <cell r="P167">
            <v>10393426.615308544</v>
          </cell>
          <cell r="R167">
            <v>10363964.949999999</v>
          </cell>
          <cell r="S167">
            <v>10363964.949999999</v>
          </cell>
          <cell r="U167">
            <v>203982.42</v>
          </cell>
          <cell r="V167">
            <v>203982.42</v>
          </cell>
          <cell r="W167">
            <v>3016900</v>
          </cell>
          <cell r="X167">
            <v>203255.28610615339</v>
          </cell>
          <cell r="Z167">
            <v>1385150.76</v>
          </cell>
          <cell r="AA167">
            <v>1385150.76</v>
          </cell>
          <cell r="AB167">
            <v>20554300</v>
          </cell>
          <cell r="AC167">
            <v>1384789.0640099801</v>
          </cell>
          <cell r="AE167">
            <v>213989.18000000002</v>
          </cell>
          <cell r="AF167">
            <v>213989.18000000002</v>
          </cell>
          <cell r="AG167">
            <v>3164900</v>
          </cell>
          <cell r="AH167">
            <v>213226.37641200068</v>
          </cell>
          <cell r="AJ167">
            <v>22023600</v>
          </cell>
          <cell r="AK167">
            <v>22023600</v>
          </cell>
          <cell r="AL167">
            <v>1483734.75</v>
          </cell>
          <cell r="AM167">
            <v>1483734.75</v>
          </cell>
          <cell r="AN167">
            <v>1483779.0841882329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 t="str">
            <v>FIE</v>
          </cell>
          <cell r="B168" t="str">
            <v>Food Ingredients Europe</v>
          </cell>
          <cell r="C168" t="str">
            <v>EUR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  <cell r="S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Z168">
            <v>-27.44</v>
          </cell>
          <cell r="AA168">
            <v>-27.44</v>
          </cell>
          <cell r="AB168">
            <v>0</v>
          </cell>
          <cell r="AC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70.239999999999995</v>
          </cell>
          <cell r="AM168">
            <v>70.239999999999995</v>
          </cell>
          <cell r="AN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</row>
        <row r="169">
          <cell r="A169" t="str">
            <v>CGB</v>
          </cell>
          <cell r="B169" t="str">
            <v>Cesalpinia GB</v>
          </cell>
          <cell r="C169" t="str">
            <v>gbp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  <cell r="S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</row>
        <row r="170">
          <cell r="A170" t="str">
            <v>CES</v>
          </cell>
          <cell r="B170" t="str">
            <v>Cesalpinia</v>
          </cell>
          <cell r="C170" t="str">
            <v>eur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  <cell r="S170">
            <v>0</v>
          </cell>
          <cell r="U170">
            <v>-12698.42</v>
          </cell>
          <cell r="V170">
            <v>-12698.42</v>
          </cell>
          <cell r="W170">
            <v>-16000</v>
          </cell>
          <cell r="X170">
            <v>-11851.85185185185</v>
          </cell>
          <cell r="Z170">
            <v>-152307.54</v>
          </cell>
          <cell r="AA170">
            <v>-152307.54</v>
          </cell>
          <cell r="AB170">
            <v>-192000</v>
          </cell>
          <cell r="AC170">
            <v>-142222.22222222222</v>
          </cell>
          <cell r="AE170">
            <v>-12698.42</v>
          </cell>
          <cell r="AF170">
            <v>-12698.42</v>
          </cell>
          <cell r="AG170">
            <v>-16000</v>
          </cell>
          <cell r="AH170">
            <v>-11851.85185185185</v>
          </cell>
          <cell r="AJ170">
            <v>-192000</v>
          </cell>
          <cell r="AK170">
            <v>-192000</v>
          </cell>
          <cell r="AL170">
            <v>-152307.54</v>
          </cell>
          <cell r="AM170">
            <v>-152307.54</v>
          </cell>
          <cell r="AN170">
            <v>-142222.22222222222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</row>
        <row r="171">
          <cell r="A171" t="str">
            <v>CIT</v>
          </cell>
          <cell r="B171" t="str">
            <v>Cesalpinia Italy</v>
          </cell>
          <cell r="C171" t="str">
            <v>eur</v>
          </cell>
          <cell r="E171">
            <v>5424126.9900000002</v>
          </cell>
          <cell r="F171">
            <v>5424126.9900000002</v>
          </cell>
          <cell r="G171">
            <v>6834400</v>
          </cell>
          <cell r="H171">
            <v>5062518.5185185177</v>
          </cell>
          <cell r="J171">
            <v>5424126.9900000002</v>
          </cell>
          <cell r="K171">
            <v>5424126.9900000002</v>
          </cell>
          <cell r="M171">
            <v>34725518.219999999</v>
          </cell>
          <cell r="N171">
            <v>34725518.219999999</v>
          </cell>
          <cell r="O171">
            <v>43771900</v>
          </cell>
          <cell r="P171">
            <v>32423629.629629627</v>
          </cell>
          <cell r="R171">
            <v>34725518.219999999</v>
          </cell>
          <cell r="S171">
            <v>34725518.219999999</v>
          </cell>
          <cell r="U171">
            <v>1169841.27</v>
          </cell>
          <cell r="V171">
            <v>1169841.27</v>
          </cell>
          <cell r="W171">
            <v>1474000</v>
          </cell>
          <cell r="X171">
            <v>1091851.8518518517</v>
          </cell>
          <cell r="Z171">
            <v>4824409.04</v>
          </cell>
          <cell r="AA171">
            <v>4824409.04</v>
          </cell>
          <cell r="AB171">
            <v>6081700</v>
          </cell>
          <cell r="AC171">
            <v>4504962.9629629627</v>
          </cell>
          <cell r="AE171">
            <v>1159920.6400000001</v>
          </cell>
          <cell r="AF171">
            <v>1159920.6400000001</v>
          </cell>
          <cell r="AG171">
            <v>1461500</v>
          </cell>
          <cell r="AH171">
            <v>1082592.5925925926</v>
          </cell>
          <cell r="AJ171">
            <v>5931700</v>
          </cell>
          <cell r="AK171">
            <v>5931700</v>
          </cell>
          <cell r="AL171">
            <v>4705418.93</v>
          </cell>
          <cell r="AM171">
            <v>4705418.93</v>
          </cell>
          <cell r="AN171">
            <v>4393851.8518518517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</row>
        <row r="172">
          <cell r="A172" t="str">
            <v>CGE</v>
          </cell>
          <cell r="B172" t="str">
            <v>Cesalpinia Germany</v>
          </cell>
          <cell r="C172" t="str">
            <v>eur</v>
          </cell>
          <cell r="E172">
            <v>852460.32</v>
          </cell>
          <cell r="F172">
            <v>852460.32</v>
          </cell>
          <cell r="G172">
            <v>1074100</v>
          </cell>
          <cell r="H172">
            <v>795629.62962962955</v>
          </cell>
          <cell r="J172">
            <v>852460.32</v>
          </cell>
          <cell r="K172">
            <v>852460.32</v>
          </cell>
          <cell r="M172">
            <v>10224451.57</v>
          </cell>
          <cell r="N172">
            <v>10224451.57</v>
          </cell>
          <cell r="O172">
            <v>12889200</v>
          </cell>
          <cell r="P172">
            <v>9547555.5555555541</v>
          </cell>
          <cell r="R172">
            <v>10224451.57</v>
          </cell>
          <cell r="S172">
            <v>10224451.57</v>
          </cell>
          <cell r="U172">
            <v>32698.41</v>
          </cell>
          <cell r="V172">
            <v>32698.41</v>
          </cell>
          <cell r="W172">
            <v>41200</v>
          </cell>
          <cell r="X172">
            <v>30518.518518518518</v>
          </cell>
          <cell r="Z172">
            <v>392336.44</v>
          </cell>
          <cell r="AA172">
            <v>392336.44</v>
          </cell>
          <cell r="AB172">
            <v>494400</v>
          </cell>
          <cell r="AC172">
            <v>366222.22222222219</v>
          </cell>
          <cell r="AE172">
            <v>32777.78</v>
          </cell>
          <cell r="AF172">
            <v>32777.78</v>
          </cell>
          <cell r="AG172">
            <v>41300</v>
          </cell>
          <cell r="AH172">
            <v>30592.592592592591</v>
          </cell>
          <cell r="AJ172">
            <v>495600</v>
          </cell>
          <cell r="AK172">
            <v>495600</v>
          </cell>
          <cell r="AL172">
            <v>393288.18</v>
          </cell>
          <cell r="AM172">
            <v>393288.18</v>
          </cell>
          <cell r="AN172">
            <v>367111.11111111107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</row>
        <row r="173">
          <cell r="A173" t="str">
            <v>CESTOT</v>
          </cell>
          <cell r="B173" t="str">
            <v>Cesalpinia</v>
          </cell>
          <cell r="C173" t="str">
            <v>EUR</v>
          </cell>
          <cell r="E173">
            <v>6276587.3099999996</v>
          </cell>
          <cell r="F173">
            <v>6276587.3100000005</v>
          </cell>
          <cell r="G173">
            <v>7908500</v>
          </cell>
          <cell r="H173">
            <v>5858148.1481481474</v>
          </cell>
          <cell r="J173">
            <v>6276587.3099999996</v>
          </cell>
          <cell r="K173">
            <v>6276587.3100000005</v>
          </cell>
          <cell r="M173">
            <v>44949969.789999999</v>
          </cell>
          <cell r="N173">
            <v>44949969.789999999</v>
          </cell>
          <cell r="O173">
            <v>56661100</v>
          </cell>
          <cell r="P173">
            <v>41971185.185185179</v>
          </cell>
          <cell r="R173">
            <v>44949969.789999999</v>
          </cell>
          <cell r="S173">
            <v>44949969.789999999</v>
          </cell>
          <cell r="U173">
            <v>1189841.26</v>
          </cell>
          <cell r="V173">
            <v>1189841.26</v>
          </cell>
          <cell r="W173">
            <v>1499200</v>
          </cell>
          <cell r="X173">
            <v>1110518.5185185182</v>
          </cell>
          <cell r="Z173">
            <v>5064437.9400000004</v>
          </cell>
          <cell r="AA173">
            <v>5064437.9400000004</v>
          </cell>
          <cell r="AB173">
            <v>6384100</v>
          </cell>
          <cell r="AC173">
            <v>4728962.9629629627</v>
          </cell>
          <cell r="AE173">
            <v>1180000</v>
          </cell>
          <cell r="AF173">
            <v>1180000.0000000002</v>
          </cell>
          <cell r="AG173">
            <v>1486800</v>
          </cell>
          <cell r="AH173">
            <v>1101333.3333333333</v>
          </cell>
          <cell r="AJ173">
            <v>6235300</v>
          </cell>
          <cell r="AK173">
            <v>6235300</v>
          </cell>
          <cell r="AL173">
            <v>4946399.57</v>
          </cell>
          <cell r="AM173">
            <v>4946399.5699999994</v>
          </cell>
          <cell r="AN173">
            <v>4618740.7407407407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</row>
        <row r="174">
          <cell r="A174" t="str">
            <v>HAHADJ</v>
          </cell>
          <cell r="B174" t="str">
            <v>C G Hahn Adj co.</v>
          </cell>
          <cell r="C174" t="str">
            <v>EUR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S174">
            <v>0</v>
          </cell>
          <cell r="U174">
            <v>57142.86</v>
          </cell>
          <cell r="V174">
            <v>57142.86</v>
          </cell>
          <cell r="W174">
            <v>72000</v>
          </cell>
          <cell r="X174">
            <v>53333.333333333328</v>
          </cell>
          <cell r="Z174">
            <v>672449.03</v>
          </cell>
          <cell r="AA174">
            <v>672449.03</v>
          </cell>
          <cell r="AB174">
            <v>847700</v>
          </cell>
          <cell r="AC174">
            <v>627925.92592592584</v>
          </cell>
          <cell r="AE174">
            <v>49682.54</v>
          </cell>
          <cell r="AF174">
            <v>49682.54</v>
          </cell>
          <cell r="AG174">
            <v>62600</v>
          </cell>
          <cell r="AH174">
            <v>46370.370370370365</v>
          </cell>
          <cell r="AJ174">
            <v>737400</v>
          </cell>
          <cell r="AK174">
            <v>737400</v>
          </cell>
          <cell r="AL174">
            <v>584951.99</v>
          </cell>
          <cell r="AM174">
            <v>584951.99</v>
          </cell>
          <cell r="AN174">
            <v>546222.22222222213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U174">
            <v>0</v>
          </cell>
          <cell r="AV174">
            <v>0</v>
          </cell>
          <cell r="AX174">
            <v>0</v>
          </cell>
        </row>
        <row r="175">
          <cell r="A175" t="str">
            <v>GCH</v>
          </cell>
          <cell r="B175" t="str">
            <v>GC Hahn</v>
          </cell>
          <cell r="C175" t="str">
            <v>EUR</v>
          </cell>
          <cell r="E175">
            <v>7381031.75</v>
          </cell>
          <cell r="F175">
            <v>7381031.75</v>
          </cell>
          <cell r="G175">
            <v>9300100</v>
          </cell>
          <cell r="H175">
            <v>6888962.9629629627</v>
          </cell>
          <cell r="K175">
            <v>0</v>
          </cell>
          <cell r="M175">
            <v>89403973.760000005</v>
          </cell>
          <cell r="N175">
            <v>89403973.760000005</v>
          </cell>
          <cell r="O175">
            <v>112700300</v>
          </cell>
          <cell r="P175">
            <v>83481703.703703701</v>
          </cell>
          <cell r="S175">
            <v>0</v>
          </cell>
          <cell r="U175">
            <v>835079.37</v>
          </cell>
          <cell r="V175">
            <v>835079.37</v>
          </cell>
          <cell r="W175">
            <v>1052200</v>
          </cell>
          <cell r="X175">
            <v>779407.4074074073</v>
          </cell>
          <cell r="Z175">
            <v>13014622.870000001</v>
          </cell>
          <cell r="AA175">
            <v>13014622.870000001</v>
          </cell>
          <cell r="AB175">
            <v>16402900</v>
          </cell>
          <cell r="AC175">
            <v>12150296.296296295</v>
          </cell>
          <cell r="AE175">
            <v>820000</v>
          </cell>
          <cell r="AF175">
            <v>820000</v>
          </cell>
          <cell r="AG175">
            <v>1033200</v>
          </cell>
          <cell r="AH175">
            <v>765333.33333333326</v>
          </cell>
          <cell r="AJ175">
            <v>15805900</v>
          </cell>
          <cell r="AK175">
            <v>15805900</v>
          </cell>
          <cell r="AL175">
            <v>12541079.270000001</v>
          </cell>
          <cell r="AM175">
            <v>12541079.270000001</v>
          </cell>
          <cell r="AN175">
            <v>11708074.074074073</v>
          </cell>
          <cell r="AP175">
            <v>-339682.54</v>
          </cell>
          <cell r="AQ175">
            <v>-339682.54</v>
          </cell>
          <cell r="AR175">
            <v>-4074478.98</v>
          </cell>
          <cell r="AS175">
            <v>-4074478.98</v>
          </cell>
          <cell r="AU175">
            <v>0</v>
          </cell>
          <cell r="AV175">
            <v>0</v>
          </cell>
          <cell r="AX175">
            <v>0</v>
          </cell>
        </row>
        <row r="176">
          <cell r="A176" t="str">
            <v>TALFIIE</v>
          </cell>
          <cell r="E176" t="e">
            <v>#N/A</v>
          </cell>
          <cell r="F176">
            <v>70790430.599999994</v>
          </cell>
          <cell r="G176" t="e">
            <v>#N/A</v>
          </cell>
          <cell r="H176">
            <v>63586391.654709242</v>
          </cell>
          <cell r="J176" t="e">
            <v>#N/A</v>
          </cell>
          <cell r="K176">
            <v>63409398.849999994</v>
          </cell>
          <cell r="M176" t="e">
            <v>#N/A</v>
          </cell>
          <cell r="N176">
            <v>877589454.33000004</v>
          </cell>
          <cell r="O176" t="e">
            <v>#N/A</v>
          </cell>
          <cell r="P176">
            <v>794359810.01645255</v>
          </cell>
          <cell r="R176" t="e">
            <v>#N/A</v>
          </cell>
          <cell r="S176">
            <v>788185480.57000005</v>
          </cell>
          <cell r="U176" t="e">
            <v>#N/A</v>
          </cell>
          <cell r="V176">
            <v>5333891.3100000005</v>
          </cell>
          <cell r="W176" t="e">
            <v>#N/A</v>
          </cell>
          <cell r="X176">
            <v>4971464.3050500406</v>
          </cell>
          <cell r="Z176" t="e">
            <v>#N/A</v>
          </cell>
          <cell r="AA176">
            <v>48567301.660000011</v>
          </cell>
          <cell r="AB176" t="e">
            <v>#N/A</v>
          </cell>
          <cell r="AC176">
            <v>45979410.660465211</v>
          </cell>
          <cell r="AE176" t="e">
            <v>#N/A</v>
          </cell>
          <cell r="AF176">
            <v>5068596.12</v>
          </cell>
          <cell r="AG176" t="e">
            <v>#N/A</v>
          </cell>
          <cell r="AH176">
            <v>4742793.429289382</v>
          </cell>
          <cell r="AJ176" t="e">
            <v>#N/A</v>
          </cell>
          <cell r="AK176">
            <v>0</v>
          </cell>
          <cell r="AL176" t="e">
            <v>#N/A</v>
          </cell>
          <cell r="AM176">
            <v>45058767.139999993</v>
          </cell>
          <cell r="AN176">
            <v>42893937.413556032</v>
          </cell>
          <cell r="AP176" t="e">
            <v>#N/A</v>
          </cell>
          <cell r="AQ176">
            <v>-339682.54</v>
          </cell>
          <cell r="AR176" t="e">
            <v>#N/A</v>
          </cell>
          <cell r="AS176">
            <v>-4074478.98</v>
          </cell>
          <cell r="AU176" t="e">
            <v>#N/A</v>
          </cell>
          <cell r="AV176">
            <v>0</v>
          </cell>
          <cell r="AW176" t="e">
            <v>#N/A</v>
          </cell>
          <cell r="AX176">
            <v>0</v>
          </cell>
        </row>
        <row r="177">
          <cell r="A177" t="str">
            <v>REN</v>
          </cell>
          <cell r="B177" t="str">
            <v>TATE &amp; LYLE REINSURANCE</v>
          </cell>
          <cell r="C177" t="str">
            <v>USD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</row>
        <row r="178">
          <cell r="A178" t="str">
            <v>IGI</v>
          </cell>
          <cell r="C178" t="str">
            <v>USD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S178">
            <v>0</v>
          </cell>
          <cell r="U178">
            <v>43405.41</v>
          </cell>
          <cell r="V178">
            <v>43405.41</v>
          </cell>
          <cell r="W178">
            <v>80300</v>
          </cell>
          <cell r="X178">
            <v>40969.387755102041</v>
          </cell>
          <cell r="Z178">
            <v>-2355766.04</v>
          </cell>
          <cell r="AA178">
            <v>-2355766.04</v>
          </cell>
          <cell r="AB178">
            <v>-4384400</v>
          </cell>
          <cell r="AC178">
            <v>-2236938.775510204</v>
          </cell>
          <cell r="AE178">
            <v>82216.22</v>
          </cell>
          <cell r="AF178">
            <v>82216.22</v>
          </cell>
          <cell r="AG178">
            <v>152100</v>
          </cell>
          <cell r="AH178">
            <v>77602.040816326538</v>
          </cell>
          <cell r="AJ178">
            <v>-3527200</v>
          </cell>
          <cell r="AK178">
            <v>-3527200</v>
          </cell>
          <cell r="AL178">
            <v>-1902909.35</v>
          </cell>
          <cell r="AM178">
            <v>-1902909.35</v>
          </cell>
          <cell r="AN178">
            <v>-1799591.836734694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U178">
            <v>0</v>
          </cell>
          <cell r="AV178">
            <v>0</v>
          </cell>
          <cell r="AX178">
            <v>0</v>
          </cell>
        </row>
        <row r="179">
          <cell r="A179" t="str">
            <v>T19</v>
          </cell>
          <cell r="C179" t="str">
            <v>USD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Z179">
            <v>969549.67</v>
          </cell>
          <cell r="AA179">
            <v>969549.67</v>
          </cell>
          <cell r="AB179">
            <v>1793400</v>
          </cell>
          <cell r="AC179">
            <v>915000</v>
          </cell>
          <cell r="AE179">
            <v>14594.59</v>
          </cell>
          <cell r="AF179">
            <v>14594.59</v>
          </cell>
          <cell r="AG179">
            <v>27000</v>
          </cell>
          <cell r="AH179">
            <v>13775.510204081633</v>
          </cell>
          <cell r="AJ179">
            <v>2122400</v>
          </cell>
          <cell r="AK179">
            <v>2122400</v>
          </cell>
          <cell r="AL179">
            <v>1143191.1800000002</v>
          </cell>
          <cell r="AM179">
            <v>1143191.1800000002</v>
          </cell>
          <cell r="AN179">
            <v>1082857.142857143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X179">
            <v>0</v>
          </cell>
        </row>
        <row r="180">
          <cell r="A180" t="str">
            <v>ADJ</v>
          </cell>
          <cell r="B180" t="str">
            <v>Group consolidation Adjustment</v>
          </cell>
          <cell r="C180" t="str">
            <v>GBP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10275800</v>
          </cell>
          <cell r="AX180">
            <v>10275800</v>
          </cell>
        </row>
        <row r="181">
          <cell r="A181" t="str">
            <v>CIL</v>
          </cell>
          <cell r="B181" t="str">
            <v>Certibilt Investments Limited</v>
          </cell>
          <cell r="C181" t="str">
            <v>GBP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Z181">
            <v>-25200</v>
          </cell>
          <cell r="AA181">
            <v>-25200</v>
          </cell>
          <cell r="AB181">
            <v>-25200</v>
          </cell>
          <cell r="AC181">
            <v>-25200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J181">
            <v>-1025200</v>
          </cell>
          <cell r="AK181">
            <v>-1025200</v>
          </cell>
          <cell r="AL181">
            <v>-1025200</v>
          </cell>
          <cell r="AM181">
            <v>-1025200</v>
          </cell>
          <cell r="AN181">
            <v>-1025200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-1001800</v>
          </cell>
          <cell r="AX181">
            <v>-1001800</v>
          </cell>
        </row>
        <row r="182">
          <cell r="A182" t="str">
            <v>CAN</v>
          </cell>
          <cell r="B182" t="str">
            <v>Tate &amp; Lyle Cane Cultivations</v>
          </cell>
          <cell r="C182" t="str">
            <v>GBP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43200</v>
          </cell>
          <cell r="AF182">
            <v>43200</v>
          </cell>
          <cell r="AG182">
            <v>43200</v>
          </cell>
          <cell r="AH182">
            <v>43200</v>
          </cell>
          <cell r="AJ182">
            <v>431400</v>
          </cell>
          <cell r="AK182">
            <v>431400</v>
          </cell>
          <cell r="AL182">
            <v>431400</v>
          </cell>
          <cell r="AM182">
            <v>431400</v>
          </cell>
          <cell r="AN182">
            <v>431400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 t="str">
            <v>DMT</v>
          </cell>
          <cell r="B183" t="str">
            <v>Dormants Ltd</v>
          </cell>
          <cell r="C183" t="str">
            <v>GBP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A184" t="str">
            <v>DOM</v>
          </cell>
          <cell r="B184" t="str">
            <v>Domino Sugar (Sold Oct 2001)</v>
          </cell>
          <cell r="C184" t="str">
            <v>USD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A185" t="str">
            <v>GCA</v>
          </cell>
          <cell r="B185" t="str">
            <v>Group central adjustments</v>
          </cell>
          <cell r="C185" t="str">
            <v>GBP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</row>
        <row r="186">
          <cell r="A186" t="str">
            <v>GMAGBP</v>
          </cell>
          <cell r="B186" t="str">
            <v>GMA adjustments GBP</v>
          </cell>
          <cell r="C186" t="str">
            <v>GBP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E186">
            <v>300000</v>
          </cell>
          <cell r="AF186">
            <v>300000</v>
          </cell>
          <cell r="AG186">
            <v>300000</v>
          </cell>
          <cell r="AH186">
            <v>300000</v>
          </cell>
          <cell r="AJ186">
            <v>900000</v>
          </cell>
          <cell r="AK186">
            <v>900000</v>
          </cell>
          <cell r="AL186">
            <v>900000</v>
          </cell>
          <cell r="AM186">
            <v>900000</v>
          </cell>
          <cell r="AN186">
            <v>900000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 t="str">
            <v>GMAUSD</v>
          </cell>
          <cell r="B187" t="str">
            <v>GMA adjustments USD parent</v>
          </cell>
          <cell r="C187" t="str">
            <v>GBP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 t="str">
            <v>HEM</v>
          </cell>
          <cell r="B188" t="str">
            <v>Hemifort</v>
          </cell>
          <cell r="C188" t="str">
            <v>GBP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E188">
            <v>1232600</v>
          </cell>
          <cell r="AF188">
            <v>1232600</v>
          </cell>
          <cell r="AG188">
            <v>1232600</v>
          </cell>
          <cell r="AH188">
            <v>1232600</v>
          </cell>
          <cell r="AJ188">
            <v>15082100</v>
          </cell>
          <cell r="AK188">
            <v>15082100</v>
          </cell>
          <cell r="AL188">
            <v>15082100</v>
          </cell>
          <cell r="AM188">
            <v>15082100</v>
          </cell>
          <cell r="AN188">
            <v>15082100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 t="str">
            <v>HOI</v>
          </cell>
          <cell r="B189" t="str">
            <v>Tate &amp; Lyle Industries Head Office</v>
          </cell>
          <cell r="C189" t="str">
            <v>GBP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Z189">
            <v>-125800</v>
          </cell>
          <cell r="AA189">
            <v>-125800</v>
          </cell>
          <cell r="AB189">
            <v>-125800</v>
          </cell>
          <cell r="AC189">
            <v>-125800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J189">
            <v>199300</v>
          </cell>
          <cell r="AK189">
            <v>199300</v>
          </cell>
          <cell r="AL189">
            <v>199300</v>
          </cell>
          <cell r="AM189">
            <v>199300</v>
          </cell>
          <cell r="AN189">
            <v>199300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 t="str">
            <v>HUS</v>
          </cell>
          <cell r="B190" t="str">
            <v>T&amp;L Holdings US</v>
          </cell>
          <cell r="C190" t="str">
            <v>USD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R190">
            <v>0</v>
          </cell>
          <cell r="S190">
            <v>0</v>
          </cell>
          <cell r="U190">
            <v>-85027.03</v>
          </cell>
          <cell r="V190">
            <v>-85027.03</v>
          </cell>
          <cell r="W190">
            <v>-157300</v>
          </cell>
          <cell r="X190">
            <v>-80255.102040816331</v>
          </cell>
          <cell r="Z190">
            <v>-841096.42</v>
          </cell>
          <cell r="AA190">
            <v>-841096.42</v>
          </cell>
          <cell r="AB190">
            <v>-1584300</v>
          </cell>
          <cell r="AC190">
            <v>-808316.32653061231</v>
          </cell>
          <cell r="AE190">
            <v>-6283243.2399999993</v>
          </cell>
          <cell r="AF190">
            <v>-6283243.2399999993</v>
          </cell>
          <cell r="AG190">
            <v>-11624000</v>
          </cell>
          <cell r="AH190">
            <v>-5930612.2448979598</v>
          </cell>
          <cell r="AJ190">
            <v>-137652900</v>
          </cell>
          <cell r="AK190">
            <v>-137652900</v>
          </cell>
          <cell r="AL190">
            <v>-72688347.530000016</v>
          </cell>
          <cell r="AM190">
            <v>-72688347.530000016</v>
          </cell>
          <cell r="AN190">
            <v>-70231071.428571433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 t="str">
            <v>IND</v>
          </cell>
          <cell r="B191" t="str">
            <v>Tate &amp; Lyle Industries adjustment</v>
          </cell>
          <cell r="C191" t="str">
            <v>GBP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 t="str">
            <v>MEX</v>
          </cell>
          <cell r="B192" t="str">
            <v>Tate &amp; Lyle Mexico</v>
          </cell>
          <cell r="C192" t="str">
            <v>MXP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J192">
            <v>0</v>
          </cell>
          <cell r="K192">
            <v>0</v>
          </cell>
          <cell r="M192">
            <v>34465.54</v>
          </cell>
          <cell r="N192">
            <v>34465.54</v>
          </cell>
          <cell r="O192">
            <v>707000</v>
          </cell>
          <cell r="P192">
            <v>32826.416237109945</v>
          </cell>
          <cell r="R192">
            <v>34465.54</v>
          </cell>
          <cell r="S192">
            <v>34465.54</v>
          </cell>
          <cell r="U192">
            <v>-13054.97</v>
          </cell>
          <cell r="V192">
            <v>-13054.97</v>
          </cell>
          <cell r="W192">
            <v>-247000</v>
          </cell>
          <cell r="X192">
            <v>-11468.35192442172</v>
          </cell>
          <cell r="Z192">
            <v>-154120.95000000001</v>
          </cell>
          <cell r="AA192">
            <v>-154120.95000000001</v>
          </cell>
          <cell r="AB192">
            <v>-2914000</v>
          </cell>
          <cell r="AC192">
            <v>-135298.69436342063</v>
          </cell>
          <cell r="AE192">
            <v>-12843.55</v>
          </cell>
          <cell r="AF192">
            <v>-12843.55</v>
          </cell>
          <cell r="AG192">
            <v>-243000</v>
          </cell>
          <cell r="AH192">
            <v>-11282.629626050519</v>
          </cell>
          <cell r="AJ192">
            <v>17730000</v>
          </cell>
          <cell r="AK192">
            <v>17730000</v>
          </cell>
          <cell r="AL192">
            <v>849045.96</v>
          </cell>
          <cell r="AM192">
            <v>849045.96</v>
          </cell>
          <cell r="AN192">
            <v>823214.08753035264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 t="str">
            <v>RCP</v>
          </cell>
          <cell r="B193" t="str">
            <v>Redpath Corporate</v>
          </cell>
          <cell r="C193" t="str">
            <v>CAD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 t="str">
            <v>SIN</v>
          </cell>
          <cell r="B194" t="str">
            <v>Sugar Industries Namibia</v>
          </cell>
          <cell r="C194" t="str">
            <v>ZAR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</row>
        <row r="195">
          <cell r="A195" t="str">
            <v>UFC</v>
          </cell>
          <cell r="B195" t="str">
            <v>UFIC</v>
          </cell>
          <cell r="C195" t="str">
            <v>USD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 t="str">
            <v>WSC</v>
          </cell>
          <cell r="B196" t="str">
            <v>Western Sugar</v>
          </cell>
          <cell r="C196" t="str">
            <v>USD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 t="str">
            <v>GRA</v>
          </cell>
          <cell r="B197" t="str">
            <v>GRAINS</v>
          </cell>
          <cell r="C197" t="str">
            <v>USD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S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 t="str">
            <v>HRP</v>
          </cell>
          <cell r="B198" t="str">
            <v>High River Promolas</v>
          </cell>
          <cell r="C198" t="str">
            <v>CAD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S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</row>
        <row r="199">
          <cell r="A199" t="str">
            <v>LIQ</v>
          </cell>
          <cell r="B199" t="str">
            <v>US Liquids</v>
          </cell>
          <cell r="C199" t="str">
            <v>USD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</row>
        <row r="200">
          <cell r="A200" t="str">
            <v>UMN</v>
          </cell>
          <cell r="B200" t="str">
            <v>United Molasses N America</v>
          </cell>
          <cell r="C200" t="str">
            <v>USD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</row>
        <row r="201">
          <cell r="A201" t="str">
            <v>USN</v>
          </cell>
          <cell r="B201" t="str">
            <v>United Storage North America</v>
          </cell>
          <cell r="C201" t="str">
            <v>USD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 t="str">
            <v>CHG</v>
          </cell>
          <cell r="B202" t="str">
            <v>Cheshire Grains Limited</v>
          </cell>
          <cell r="C202" t="str">
            <v>GBP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A203" t="str">
            <v>FSL</v>
          </cell>
          <cell r="B203" t="str">
            <v>FSL Bells</v>
          </cell>
          <cell r="C203" t="str">
            <v>GBP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S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E203">
            <v>-26200</v>
          </cell>
          <cell r="AF203">
            <v>-26200</v>
          </cell>
          <cell r="AG203">
            <v>-26200</v>
          </cell>
          <cell r="AH203">
            <v>-26200</v>
          </cell>
          <cell r="AJ203">
            <v>-318700</v>
          </cell>
          <cell r="AK203">
            <v>-318700</v>
          </cell>
          <cell r="AL203">
            <v>-318700</v>
          </cell>
          <cell r="AM203">
            <v>-318700</v>
          </cell>
          <cell r="AN203">
            <v>-318700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</row>
        <row r="204">
          <cell r="A204" t="str">
            <v>HHD</v>
          </cell>
          <cell r="B204" t="str">
            <v>Hartham Holdings</v>
          </cell>
          <cell r="C204" t="str">
            <v>GBP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</row>
        <row r="205">
          <cell r="A205" t="str">
            <v>RSF</v>
          </cell>
          <cell r="B205" t="str">
            <v>RS Feeds</v>
          </cell>
          <cell r="C205" t="str">
            <v>GBP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</row>
        <row r="206">
          <cell r="A206" t="str">
            <v>UTI</v>
          </cell>
          <cell r="B206" t="str">
            <v>UMT Ireland</v>
          </cell>
          <cell r="C206" t="str">
            <v>EUR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 t="str">
            <v>HOL</v>
          </cell>
          <cell r="B207" t="str">
            <v>Tate &amp; Lyle Holland</v>
          </cell>
          <cell r="C207" t="str">
            <v>EUR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  <cell r="S207">
            <v>0</v>
          </cell>
          <cell r="U207">
            <v>-7936.51</v>
          </cell>
          <cell r="V207">
            <v>-7936.51</v>
          </cell>
          <cell r="W207">
            <v>-10000</v>
          </cell>
          <cell r="X207">
            <v>-7407.4074074074069</v>
          </cell>
          <cell r="Z207">
            <v>-70634.16</v>
          </cell>
          <cell r="AA207">
            <v>-70634.16</v>
          </cell>
          <cell r="AB207">
            <v>-89000</v>
          </cell>
          <cell r="AC207">
            <v>-65925.925925925927</v>
          </cell>
          <cell r="AE207">
            <v>-1587.3000000000002</v>
          </cell>
          <cell r="AF207">
            <v>-1587.3000000000002</v>
          </cell>
          <cell r="AG207">
            <v>-2000</v>
          </cell>
          <cell r="AH207">
            <v>-1481.4814814814813</v>
          </cell>
          <cell r="AJ207">
            <v>20000</v>
          </cell>
          <cell r="AK207">
            <v>20000</v>
          </cell>
          <cell r="AL207">
            <v>15837.25</v>
          </cell>
          <cell r="AM207">
            <v>15837.25</v>
          </cell>
          <cell r="AN207">
            <v>14814.814814814814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</row>
        <row r="208">
          <cell r="A208" t="str">
            <v>TBV</v>
          </cell>
          <cell r="B208" t="str">
            <v>Talres Development BV</v>
          </cell>
          <cell r="C208" t="str">
            <v>EUR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</row>
        <row r="209">
          <cell r="A209" t="str">
            <v>LLC</v>
          </cell>
          <cell r="B209" t="str">
            <v>Tate &amp; Lyle LLC</v>
          </cell>
          <cell r="C209" t="str">
            <v>USD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  <cell r="S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Z209">
            <v>-744.12</v>
          </cell>
          <cell r="AA209">
            <v>-744.12</v>
          </cell>
          <cell r="AB209">
            <v>-1400</v>
          </cell>
          <cell r="AC209">
            <v>-714.28571428571433</v>
          </cell>
          <cell r="AE209">
            <v>9704108.1099999994</v>
          </cell>
          <cell r="AF209">
            <v>9704108.1099999994</v>
          </cell>
          <cell r="AG209">
            <v>17952600</v>
          </cell>
          <cell r="AH209">
            <v>9159489.7959183678</v>
          </cell>
          <cell r="AJ209">
            <v>210332200</v>
          </cell>
          <cell r="AK209">
            <v>210332200</v>
          </cell>
          <cell r="AL209">
            <v>111085809.50999999</v>
          </cell>
          <cell r="AM209">
            <v>111085809.50999999</v>
          </cell>
          <cell r="AN209">
            <v>107312346.93877551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 t="str">
            <v>TDL</v>
          </cell>
          <cell r="B210" t="str">
            <v>Talres Development LLC</v>
          </cell>
          <cell r="C210" t="str">
            <v>USD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  <cell r="S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</row>
        <row r="211">
          <cell r="A211" t="str">
            <v>ESOP</v>
          </cell>
          <cell r="B211" t="str">
            <v>Executive Share Option Plan</v>
          </cell>
          <cell r="C211" t="str">
            <v>GBP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  <cell r="S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 t="str">
            <v>PLC</v>
          </cell>
          <cell r="B212" t="str">
            <v>Tate &amp; Lyle PLC</v>
          </cell>
          <cell r="C212" t="str">
            <v>GBP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  <cell r="S212">
            <v>0</v>
          </cell>
          <cell r="U212">
            <v>-1933400</v>
          </cell>
          <cell r="V212">
            <v>-1933400</v>
          </cell>
          <cell r="W212">
            <v>-1933400</v>
          </cell>
          <cell r="X212">
            <v>-1933400</v>
          </cell>
          <cell r="Z212">
            <v>-20225800</v>
          </cell>
          <cell r="AA212">
            <v>-20225800</v>
          </cell>
          <cell r="AB212">
            <v>-20225800</v>
          </cell>
          <cell r="AC212">
            <v>-20225800</v>
          </cell>
          <cell r="AE212">
            <v>-5839000</v>
          </cell>
          <cell r="AF212">
            <v>-5839000</v>
          </cell>
          <cell r="AG212">
            <v>-5839000</v>
          </cell>
          <cell r="AH212">
            <v>-5839000</v>
          </cell>
          <cell r="AJ212">
            <v>-60198800</v>
          </cell>
          <cell r="AK212">
            <v>-60198800</v>
          </cell>
          <cell r="AL212">
            <v>-60198800</v>
          </cell>
          <cell r="AM212">
            <v>-60198800</v>
          </cell>
          <cell r="AN212">
            <v>-60198800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 t="str">
            <v>TIH</v>
          </cell>
          <cell r="B213" t="str">
            <v>Tate &amp; Lyle Industiral Holding</v>
          </cell>
          <cell r="C213" t="str">
            <v>GBP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J213">
            <v>0</v>
          </cell>
          <cell r="K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  <cell r="S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J213">
            <v>204500</v>
          </cell>
          <cell r="AK213">
            <v>204500</v>
          </cell>
          <cell r="AL213">
            <v>204500</v>
          </cell>
          <cell r="AM213">
            <v>204500</v>
          </cell>
          <cell r="AN213">
            <v>204500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</row>
        <row r="214">
          <cell r="A214" t="str">
            <v>TLE</v>
          </cell>
          <cell r="B214" t="str">
            <v>Tate &amp; Lyle European Finance</v>
          </cell>
          <cell r="C214" t="str">
            <v>EUR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  <cell r="S214">
            <v>0</v>
          </cell>
          <cell r="U214">
            <v>-1984.12</v>
          </cell>
          <cell r="V214">
            <v>-1984.12</v>
          </cell>
          <cell r="W214">
            <v>-2500</v>
          </cell>
          <cell r="X214">
            <v>-1851.8518518518517</v>
          </cell>
          <cell r="Z214">
            <v>-37344.35</v>
          </cell>
          <cell r="AA214">
            <v>-37344.35</v>
          </cell>
          <cell r="AB214">
            <v>-47100</v>
          </cell>
          <cell r="AC214">
            <v>-34888.888888888883</v>
          </cell>
          <cell r="AE214">
            <v>41190.480000000003</v>
          </cell>
          <cell r="AF214">
            <v>41190.480000000003</v>
          </cell>
          <cell r="AG214">
            <v>51900</v>
          </cell>
          <cell r="AH214">
            <v>38444.444444444445</v>
          </cell>
          <cell r="AJ214">
            <v>624200</v>
          </cell>
          <cell r="AK214">
            <v>624200</v>
          </cell>
          <cell r="AL214">
            <v>495162.9099999998</v>
          </cell>
          <cell r="AM214">
            <v>495162.9099999998</v>
          </cell>
          <cell r="AN214">
            <v>462370.37037037034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 t="str">
            <v>TSQ</v>
          </cell>
          <cell r="B215" t="str">
            <v>T&amp;L Sugar Quay Ltd</v>
          </cell>
          <cell r="C215" t="str">
            <v>USD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  <cell r="S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 t="str">
            <v>VEN</v>
          </cell>
          <cell r="B216" t="str">
            <v>Tate &amp; Lyle Ventures Ltd</v>
          </cell>
          <cell r="C216" t="str">
            <v>GBP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  <cell r="S216">
            <v>0</v>
          </cell>
          <cell r="U216">
            <v>-62200</v>
          </cell>
          <cell r="V216">
            <v>-62200</v>
          </cell>
          <cell r="W216">
            <v>-62200</v>
          </cell>
          <cell r="X216">
            <v>-62200</v>
          </cell>
          <cell r="Z216">
            <v>-754700</v>
          </cell>
          <cell r="AA216">
            <v>-754700</v>
          </cell>
          <cell r="AB216">
            <v>-754700</v>
          </cell>
          <cell r="AC216">
            <v>-754700</v>
          </cell>
          <cell r="AE216">
            <v>-92800</v>
          </cell>
          <cell r="AF216">
            <v>-92800</v>
          </cell>
          <cell r="AG216">
            <v>-92800</v>
          </cell>
          <cell r="AH216">
            <v>-92800</v>
          </cell>
          <cell r="AJ216">
            <v>-1105000</v>
          </cell>
          <cell r="AK216">
            <v>-1105000</v>
          </cell>
          <cell r="AL216">
            <v>-1105000</v>
          </cell>
          <cell r="AM216">
            <v>-1105000</v>
          </cell>
          <cell r="AN216">
            <v>-1105000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 t="str">
            <v>HSS</v>
          </cell>
          <cell r="B217" t="str">
            <v>Harvey Steel Sugars</v>
          </cell>
          <cell r="C217" t="str">
            <v>GBP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  <cell r="K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  <cell r="S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</row>
        <row r="218">
          <cell r="A218" t="str">
            <v>TLF</v>
          </cell>
          <cell r="B218" t="str">
            <v>Tate &amp; Lyle International Finance</v>
          </cell>
          <cell r="C218" t="str">
            <v>GBP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  <cell r="K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  <cell r="S218">
            <v>0</v>
          </cell>
          <cell r="U218">
            <v>-187600</v>
          </cell>
          <cell r="V218">
            <v>-187600</v>
          </cell>
          <cell r="W218">
            <v>-187600</v>
          </cell>
          <cell r="X218">
            <v>-187600</v>
          </cell>
          <cell r="Z218">
            <v>-2380500</v>
          </cell>
          <cell r="AA218">
            <v>-2380500</v>
          </cell>
          <cell r="AB218">
            <v>-2380500</v>
          </cell>
          <cell r="AC218">
            <v>-2380500</v>
          </cell>
          <cell r="AE218">
            <v>1254900</v>
          </cell>
          <cell r="AF218">
            <v>1254900</v>
          </cell>
          <cell r="AG218">
            <v>1254900</v>
          </cell>
          <cell r="AH218">
            <v>1254900</v>
          </cell>
          <cell r="AJ218">
            <v>13198500</v>
          </cell>
          <cell r="AK218">
            <v>13198500</v>
          </cell>
          <cell r="AL218">
            <v>13198500</v>
          </cell>
          <cell r="AM218">
            <v>13198500</v>
          </cell>
          <cell r="AN218">
            <v>13198500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 t="str">
            <v>TLM</v>
          </cell>
          <cell r="B219" t="str">
            <v xml:space="preserve">Tate &amp; Lyle Management Finance </v>
          </cell>
          <cell r="C219" t="str">
            <v>USD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J219">
            <v>0</v>
          </cell>
          <cell r="K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  <cell r="S219">
            <v>0</v>
          </cell>
          <cell r="U219">
            <v>-1621.62</v>
          </cell>
          <cell r="V219">
            <v>-1621.62</v>
          </cell>
          <cell r="W219">
            <v>-3000</v>
          </cell>
          <cell r="X219">
            <v>-1530.6122448979593</v>
          </cell>
          <cell r="Z219">
            <v>-71761.399999999994</v>
          </cell>
          <cell r="AA219">
            <v>-71761.399999999994</v>
          </cell>
          <cell r="AB219">
            <v>-139000</v>
          </cell>
          <cell r="AC219">
            <v>-70918.367346938772</v>
          </cell>
          <cell r="AE219">
            <v>-540.54</v>
          </cell>
          <cell r="AF219">
            <v>-540.54</v>
          </cell>
          <cell r="AG219">
            <v>-1000</v>
          </cell>
          <cell r="AH219">
            <v>-510.20408163265307</v>
          </cell>
          <cell r="AJ219">
            <v>-116000</v>
          </cell>
          <cell r="AK219">
            <v>-116000</v>
          </cell>
          <cell r="AL219">
            <v>-59591.199999999997</v>
          </cell>
          <cell r="AM219">
            <v>-59591.199999999997</v>
          </cell>
          <cell r="AN219">
            <v>-59183.673469387759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</row>
        <row r="220">
          <cell r="A220" t="str">
            <v>COO</v>
          </cell>
          <cell r="B220" t="str">
            <v>Coolmelt</v>
          </cell>
          <cell r="C220" t="str">
            <v>GBP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J220">
            <v>0</v>
          </cell>
          <cell r="K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  <cell r="S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A221" t="str">
            <v>KAL</v>
          </cell>
          <cell r="B221" t="str">
            <v>Kalmarana</v>
          </cell>
          <cell r="C221" t="str">
            <v>GBP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J221">
            <v>0</v>
          </cell>
          <cell r="K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  <cell r="S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16600</v>
          </cell>
          <cell r="AF221">
            <v>16600</v>
          </cell>
          <cell r="AG221">
            <v>16600</v>
          </cell>
          <cell r="AH221">
            <v>16600</v>
          </cell>
          <cell r="AJ221">
            <v>204700</v>
          </cell>
          <cell r="AK221">
            <v>204700</v>
          </cell>
          <cell r="AL221">
            <v>204700</v>
          </cell>
          <cell r="AM221">
            <v>204700</v>
          </cell>
          <cell r="AN221">
            <v>204700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A222" t="str">
            <v>MTC</v>
          </cell>
          <cell r="B222" t="str">
            <v>The Molasses Trading Company</v>
          </cell>
          <cell r="C222" t="str">
            <v>GBP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0</v>
          </cell>
          <cell r="K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  <cell r="S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 t="str">
            <v>PIG</v>
          </cell>
          <cell r="B223" t="str">
            <v>Pigpac</v>
          </cell>
          <cell r="C223" t="str">
            <v>GBP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J223">
            <v>0</v>
          </cell>
          <cell r="K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  <cell r="S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A224" t="str">
            <v>RIC</v>
          </cell>
          <cell r="B224" t="str">
            <v>Richards Shipbuilders</v>
          </cell>
          <cell r="C224" t="str">
            <v>GBP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J224">
            <v>0</v>
          </cell>
          <cell r="K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  <cell r="S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</row>
        <row r="225">
          <cell r="A225" t="str">
            <v>RUK</v>
          </cell>
          <cell r="B225" t="str">
            <v>Redpath UK Ltd</v>
          </cell>
          <cell r="C225" t="str">
            <v>GBP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 t="str">
            <v>TIS</v>
          </cell>
          <cell r="B226" t="str">
            <v>Tate &amp; Lyle Investment servicea</v>
          </cell>
          <cell r="C226" t="str">
            <v>GBP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J226">
            <v>0</v>
          </cell>
          <cell r="K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  <cell r="S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J226">
            <v>-4900</v>
          </cell>
          <cell r="AK226">
            <v>-4900</v>
          </cell>
          <cell r="AL226">
            <v>-4900</v>
          </cell>
          <cell r="AM226">
            <v>-4900</v>
          </cell>
          <cell r="AN226">
            <v>-4900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 t="str">
            <v>TLH</v>
          </cell>
          <cell r="B227" t="str">
            <v>Tate &amp; Lyle Holdings Ltd</v>
          </cell>
          <cell r="C227" t="str">
            <v>GBP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J227">
            <v>0</v>
          </cell>
          <cell r="K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  <cell r="S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J227">
            <v>441100</v>
          </cell>
          <cell r="AK227">
            <v>441100</v>
          </cell>
          <cell r="AL227">
            <v>441100</v>
          </cell>
          <cell r="AM227">
            <v>441100</v>
          </cell>
          <cell r="AN227">
            <v>441100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 t="str">
            <v>TLO</v>
          </cell>
          <cell r="B228" t="str">
            <v>Tate &amp; Lyle Overseas</v>
          </cell>
          <cell r="C228" t="str">
            <v>GBP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  <cell r="S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 t="str">
            <v>TLV</v>
          </cell>
          <cell r="B229" t="str">
            <v>Tate &amp; Lyle Investments</v>
          </cell>
          <cell r="C229" t="str">
            <v>GBP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  <cell r="S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Z229">
            <v>-102900</v>
          </cell>
          <cell r="AA229">
            <v>-102900</v>
          </cell>
          <cell r="AB229">
            <v>-102900</v>
          </cell>
          <cell r="AC229">
            <v>-102900</v>
          </cell>
          <cell r="AE229">
            <v>-3556200</v>
          </cell>
          <cell r="AF229">
            <v>-3556200</v>
          </cell>
          <cell r="AG229">
            <v>-3556200</v>
          </cell>
          <cell r="AH229">
            <v>-3556200</v>
          </cell>
          <cell r="AJ229">
            <v>-39304200</v>
          </cell>
          <cell r="AK229">
            <v>-39304200</v>
          </cell>
          <cell r="AL229">
            <v>-39304200</v>
          </cell>
          <cell r="AM229">
            <v>-39304200</v>
          </cell>
          <cell r="AN229">
            <v>-39304200</v>
          </cell>
          <cell r="AP229">
            <v>-484400</v>
          </cell>
          <cell r="AQ229">
            <v>-484400</v>
          </cell>
          <cell r="AR229">
            <v>-5748400</v>
          </cell>
          <cell r="AS229">
            <v>-5748400</v>
          </cell>
          <cell r="AU229">
            <v>0</v>
          </cell>
          <cell r="AV229">
            <v>0</v>
          </cell>
          <cell r="AW229">
            <v>-9006000</v>
          </cell>
          <cell r="AX229">
            <v>-9006000</v>
          </cell>
        </row>
        <row r="230">
          <cell r="A230" t="str">
            <v>TLW</v>
          </cell>
          <cell r="B230" t="str">
            <v>Wellpure</v>
          </cell>
          <cell r="C230" t="str">
            <v>HKD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  <cell r="S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 t="str">
            <v>TVA</v>
          </cell>
          <cell r="B231" t="str">
            <v>Tate &amp; Lyle Investments</v>
          </cell>
          <cell r="C231" t="str">
            <v>GBP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  <cell r="S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 t="str">
            <v>VGS</v>
          </cell>
          <cell r="B232" t="str">
            <v>Tate &amp; Lyle Investments</v>
          </cell>
          <cell r="C232" t="str">
            <v>GBP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  <cell r="S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 t="str">
            <v>VIN</v>
          </cell>
          <cell r="B233" t="str">
            <v>VIN</v>
          </cell>
          <cell r="C233" t="str">
            <v>USD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J233">
            <v>0</v>
          </cell>
          <cell r="K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  <cell r="S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</row>
        <row r="234">
          <cell r="A234" t="str">
            <v>VUS</v>
          </cell>
          <cell r="B234" t="str">
            <v>Tate &amp; Lyle Investments</v>
          </cell>
          <cell r="C234" t="str">
            <v>GBP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  <cell r="S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 t="str">
            <v>CENTRAL</v>
          </cell>
          <cell r="B235" t="str">
            <v>CENTRAL COMPANIES</v>
          </cell>
          <cell r="E235" t="e">
            <v>#N/A</v>
          </cell>
          <cell r="F235">
            <v>0</v>
          </cell>
          <cell r="G235" t="e">
            <v>#N/A</v>
          </cell>
          <cell r="H235">
            <v>0</v>
          </cell>
          <cell r="J235" t="e">
            <v>#N/A</v>
          </cell>
          <cell r="K235">
            <v>0</v>
          </cell>
          <cell r="M235" t="e">
            <v>#N/A</v>
          </cell>
          <cell r="N235">
            <v>34465.54</v>
          </cell>
          <cell r="O235" t="e">
            <v>#N/A</v>
          </cell>
          <cell r="P235">
            <v>32826.416237109945</v>
          </cell>
          <cell r="R235" t="e">
            <v>#N/A</v>
          </cell>
          <cell r="S235">
            <v>34465.54</v>
          </cell>
          <cell r="U235" t="e">
            <v>#N/A</v>
          </cell>
          <cell r="V235">
            <v>-2249418.8400000003</v>
          </cell>
          <cell r="W235" t="e">
            <v>#N/A</v>
          </cell>
          <cell r="X235">
            <v>-2244743.9377142931</v>
          </cell>
          <cell r="Z235" t="e">
            <v>#N/A</v>
          </cell>
          <cell r="AA235">
            <v>-26176817.77</v>
          </cell>
          <cell r="AB235" t="e">
            <v>#N/A</v>
          </cell>
          <cell r="AC235">
            <v>-26052901.264280275</v>
          </cell>
          <cell r="AE235" t="e">
            <v>#N/A</v>
          </cell>
          <cell r="AF235">
            <v>-3123005.23</v>
          </cell>
          <cell r="AG235" t="e">
            <v>#N/A</v>
          </cell>
          <cell r="AH235">
            <v>-3321474.768703904</v>
          </cell>
          <cell r="AJ235" t="e">
            <v>#N/A</v>
          </cell>
          <cell r="AK235">
            <v>0</v>
          </cell>
          <cell r="AL235" t="e">
            <v>#N/A</v>
          </cell>
          <cell r="AM235">
            <v>-32357001.270000026</v>
          </cell>
          <cell r="AN235">
            <v>-33689443.584427327</v>
          </cell>
          <cell r="AP235" t="e">
            <v>#N/A</v>
          </cell>
          <cell r="AQ235">
            <v>-484400</v>
          </cell>
          <cell r="AR235" t="e">
            <v>#N/A</v>
          </cell>
          <cell r="AS235">
            <v>-5748400</v>
          </cell>
          <cell r="AU235" t="e">
            <v>#N/A</v>
          </cell>
          <cell r="AV235">
            <v>0</v>
          </cell>
          <cell r="AW235" t="e">
            <v>#N/A</v>
          </cell>
          <cell r="AX235">
            <v>268000</v>
          </cell>
        </row>
        <row r="237">
          <cell r="A237" t="str">
            <v>GROUP</v>
          </cell>
          <cell r="B237" t="str">
            <v>Total Tate and Lyle</v>
          </cell>
          <cell r="F237">
            <v>415686427.15999997</v>
          </cell>
          <cell r="H237">
            <v>391424678.57552135</v>
          </cell>
          <cell r="K237">
            <v>408305395.40999997</v>
          </cell>
          <cell r="N237">
            <v>4773138032.3100004</v>
          </cell>
          <cell r="P237">
            <v>4564996919.456892</v>
          </cell>
          <cell r="S237">
            <v>4683734058.5500002</v>
          </cell>
          <cell r="V237">
            <v>33330066.790000003</v>
          </cell>
          <cell r="X237">
            <v>31605705.905532345</v>
          </cell>
          <cell r="AA237">
            <v>326507658.04000008</v>
          </cell>
          <cell r="AC237">
            <v>313178909.52279168</v>
          </cell>
          <cell r="AF237">
            <v>28001353.600000001</v>
          </cell>
          <cell r="AH237">
            <v>26313346.377794161</v>
          </cell>
          <cell r="AM237">
            <v>274508233.27999991</v>
          </cell>
          <cell r="AN237">
            <v>261313856.96158859</v>
          </cell>
          <cell r="AQ237">
            <v>-1168782.54</v>
          </cell>
          <cell r="AS237">
            <v>-13941178.98</v>
          </cell>
          <cell r="AV237">
            <v>108.11000000000058</v>
          </cell>
          <cell r="AX237">
            <v>-16518839.149999999</v>
          </cell>
        </row>
        <row r="239">
          <cell r="A239" t="str">
            <v>TALFIIE JVs</v>
          </cell>
        </row>
        <row r="241">
          <cell r="A241" t="str">
            <v>FX Effect</v>
          </cell>
          <cell r="F241">
            <v>24261748.584478617</v>
          </cell>
          <cell r="N241">
            <v>208141112.85310841</v>
          </cell>
          <cell r="V241">
            <v>1724360.8844676577</v>
          </cell>
          <cell r="AA241">
            <v>13328748.517208397</v>
          </cell>
          <cell r="AF241">
            <v>1688007.2222058401</v>
          </cell>
          <cell r="AM241">
            <v>13194376.31841132</v>
          </cell>
        </row>
        <row r="244">
          <cell r="A244">
            <v>1</v>
          </cell>
          <cell r="B244">
            <v>2</v>
          </cell>
          <cell r="C244">
            <v>3</v>
          </cell>
          <cell r="D244">
            <v>4</v>
          </cell>
          <cell r="E244">
            <v>5</v>
          </cell>
          <cell r="F244">
            <v>6</v>
          </cell>
          <cell r="G244">
            <v>7</v>
          </cell>
          <cell r="H244">
            <v>8</v>
          </cell>
          <cell r="I244">
            <v>9</v>
          </cell>
          <cell r="J244">
            <v>10</v>
          </cell>
          <cell r="K244">
            <v>11</v>
          </cell>
          <cell r="L244">
            <v>12</v>
          </cell>
          <cell r="M244">
            <v>13</v>
          </cell>
          <cell r="N244">
            <v>14</v>
          </cell>
          <cell r="O244">
            <v>15</v>
          </cell>
          <cell r="P244">
            <v>16</v>
          </cell>
          <cell r="Q244">
            <v>17</v>
          </cell>
          <cell r="R244">
            <v>18</v>
          </cell>
          <cell r="S244">
            <v>19</v>
          </cell>
          <cell r="T244">
            <v>20</v>
          </cell>
          <cell r="U244">
            <v>21</v>
          </cell>
          <cell r="V244">
            <v>22</v>
          </cell>
          <cell r="W244">
            <v>23</v>
          </cell>
          <cell r="X244">
            <v>24</v>
          </cell>
          <cell r="Y244">
            <v>25</v>
          </cell>
          <cell r="Z244">
            <v>26</v>
          </cell>
          <cell r="AA244">
            <v>27</v>
          </cell>
          <cell r="AB244">
            <v>28</v>
          </cell>
          <cell r="AC244">
            <v>29</v>
          </cell>
          <cell r="AD244">
            <v>30</v>
          </cell>
          <cell r="AE244">
            <v>31</v>
          </cell>
          <cell r="AF244">
            <v>32</v>
          </cell>
          <cell r="AG244">
            <v>33</v>
          </cell>
          <cell r="AH244">
            <v>34</v>
          </cell>
          <cell r="AI244">
            <v>35</v>
          </cell>
          <cell r="AJ244">
            <v>36</v>
          </cell>
          <cell r="AK244">
            <v>37</v>
          </cell>
          <cell r="AL244">
            <v>38</v>
          </cell>
          <cell r="AM244">
            <v>39</v>
          </cell>
          <cell r="AN244">
            <v>40</v>
          </cell>
          <cell r="AO244">
            <v>41</v>
          </cell>
          <cell r="AP244">
            <v>42</v>
          </cell>
          <cell r="AQ244">
            <v>43</v>
          </cell>
          <cell r="AR244">
            <v>44</v>
          </cell>
          <cell r="AS244">
            <v>45</v>
          </cell>
          <cell r="AT244">
            <v>46</v>
          </cell>
          <cell r="AU244">
            <v>47</v>
          </cell>
          <cell r="AV244">
            <v>48</v>
          </cell>
          <cell r="AW244">
            <v>49</v>
          </cell>
          <cell r="AX244">
            <v>50</v>
          </cell>
          <cell r="AY244">
            <v>51</v>
          </cell>
          <cell r="AZ244">
            <v>52</v>
          </cell>
        </row>
        <row r="246">
          <cell r="A246" t="str">
            <v>TLMAIN</v>
          </cell>
          <cell r="U246">
            <v>33330066.789999999</v>
          </cell>
          <cell r="W246">
            <v>0</v>
          </cell>
          <cell r="AN246" t="str">
            <v>TLS</v>
          </cell>
        </row>
        <row r="247">
          <cell r="AN247" t="str">
            <v>TALFIIE</v>
          </cell>
        </row>
        <row r="248">
          <cell r="AN248" t="str">
            <v>JVs</v>
          </cell>
        </row>
        <row r="249">
          <cell r="AQ249">
            <v>0</v>
          </cell>
          <cell r="AS24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ash Raw Data"/>
      <sheetName val="Cash Translation Page"/>
      <sheetName val="Cash Translation Page New"/>
      <sheetName val="Budget data"/>
      <sheetName val="Historical Data"/>
      <sheetName val="CJLR"/>
      <sheetName val="HFM Source IS"/>
      <sheetName val="HFM Source BS"/>
      <sheetName val="Lookups"/>
      <sheetName val="AC Descr"/>
      <sheetName val="Key metrics"/>
      <sheetName val="Income Statement"/>
      <sheetName val="Rev, PBT and EBITDA Graphs"/>
      <sheetName val="Q3 Chart Reload"/>
      <sheetName val="YTD Bars"/>
      <sheetName val="Key metrics (AC)"/>
      <sheetName val="YTD Bars (2)"/>
      <sheetName val="Key metrics (JV)"/>
      <sheetName val="Cash Flow from PBT"/>
      <sheetName val="Cash WF PBT (2)"/>
      <sheetName val="Cash WF PBT YTD"/>
      <sheetName val="Impairment net worth"/>
      <sheetName val="Impairment IS"/>
      <sheetName val="PBT WF QoQ"/>
      <sheetName val="PBT WF Q4"/>
      <sheetName val="PBT WF YTD"/>
      <sheetName val="Cash WF PBT"/>
      <sheetName val="Cash WF Q4"/>
      <sheetName val="Exceptionals Q4 FY19"/>
      <sheetName val="R&amp;D and Inv"/>
      <sheetName val="Inv WF"/>
      <sheetName val="Inv WF 12M"/>
      <sheetName val="Cash Flow from PBT (2)"/>
      <sheetName val="PBT WF"/>
      <sheetName val="EBIT WF"/>
      <sheetName val="FX"/>
      <sheetName val="FX2"/>
      <sheetName val="FX WTF Q"/>
      <sheetName val=" FX WF YTD"/>
      <sheetName val="CEO Key Data (2)"/>
      <sheetName val="Interim"/>
      <sheetName val="Key metrics (CEO)"/>
      <sheetName val="Financing"/>
      <sheetName val="Cash WF from PBT Q4"/>
      <sheetName val="Cash Flow (Corrected)"/>
      <sheetName val="Cash WF from PBT FY"/>
      <sheetName val="Cash WF"/>
      <sheetName val="Waterfall Bridge qtr yoy"/>
      <sheetName val="Waterfall Bridge (Q)"/>
      <sheetName val="Waterfall IS"/>
      <sheetName val="Cash Flow (V 3"/>
      <sheetName val="Cash Flow"/>
      <sheetName val="Cash Flow (BB Changes)"/>
      <sheetName val="Cash Flow Rec"/>
      <sheetName val="Cash WF AR"/>
      <sheetName val="CEO Key Summary"/>
      <sheetName val="CEO Key Summary (YE)"/>
      <sheetName val="CEO Key Data (YE)"/>
      <sheetName val="Press release table"/>
      <sheetName val="CEO Key Data"/>
      <sheetName val="Revenue restatement"/>
      <sheetName val="TML year end request"/>
      <sheetName val="Sheet3"/>
      <sheetName val="Debt EBITDA"/>
      <sheetName val="TML Consol"/>
      <sheetName val="Chart1"/>
      <sheetName val="IHS industry volumes"/>
      <sheetName val="TML Consol v3 (slide 5.6)"/>
      <sheetName val="TML Consol "/>
      <sheetName val="Industry volumes"/>
      <sheetName val="AC Meeting FY YOY IS "/>
      <sheetName val="AC meeting YOY IS (Quarter) "/>
      <sheetName val="AC Meeting QoQ IS "/>
      <sheetName val="Ad Hoc for BB"/>
      <sheetName val="EBITDA E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1. Website Retails"/>
      <sheetName val="2a. TML Retails"/>
      <sheetName val="2b. TML Wholesales"/>
      <sheetName val="PR Page"/>
      <sheetName val="3a."/>
      <sheetName val="3b."/>
      <sheetName val="3c."/>
      <sheetName val="3d."/>
      <sheetName val="4a."/>
      <sheetName val="4b."/>
      <sheetName val="4c."/>
      <sheetName val="4d. Overlay"/>
      <sheetName val="4d. Raw"/>
      <sheetName val="4d. CJLR"/>
      <sheetName val="5a."/>
      <sheetName val="5b."/>
      <sheetName val="VT"/>
      <sheetName val="RT Brand"/>
      <sheetName val="RT Geo"/>
      <sheetName val="WS Brand"/>
      <sheetName val="WS Geo"/>
      <sheetName val="Sheet1"/>
      <sheetName val="1__Website_Retails"/>
      <sheetName val="2a__TML_Retails"/>
      <sheetName val="2b__TML_Wholesales"/>
      <sheetName val="PR_Page"/>
      <sheetName val="3a_"/>
      <sheetName val="3b_"/>
      <sheetName val="3c_"/>
      <sheetName val="3d_"/>
      <sheetName val="4a_"/>
      <sheetName val="4b_"/>
      <sheetName val="4c_"/>
      <sheetName val="4d__Overlay"/>
      <sheetName val="4d__Raw"/>
      <sheetName val="4d__CJLR"/>
      <sheetName val="5a_"/>
      <sheetName val="5b_"/>
      <sheetName val="RT_Brand"/>
      <sheetName val="RT_Geo"/>
      <sheetName val="WS_Brand"/>
      <sheetName val="WS_Geo"/>
      <sheetName val="1__Website_Retails1"/>
      <sheetName val="2a__TML_Retails1"/>
      <sheetName val="2b__TML_Wholesales1"/>
      <sheetName val="PR_Page1"/>
      <sheetName val="3a_1"/>
      <sheetName val="3b_1"/>
      <sheetName val="3c_1"/>
      <sheetName val="3d_1"/>
      <sheetName val="4a_1"/>
      <sheetName val="4b_1"/>
      <sheetName val="4c_1"/>
      <sheetName val="4d__Overlay1"/>
      <sheetName val="4d__Raw1"/>
      <sheetName val="4d__CJLR1"/>
      <sheetName val="5a_1"/>
      <sheetName val="5b_1"/>
      <sheetName val="RT_Brand1"/>
      <sheetName val="RT_Geo1"/>
      <sheetName val="WS_Brand1"/>
      <sheetName val="WS_Ge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R8">
            <v>25025</v>
          </cell>
        </row>
      </sheetData>
      <sheetData sheetId="10">
        <row r="8">
          <cell r="R8">
            <v>123119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R8">
            <v>25025</v>
          </cell>
        </row>
      </sheetData>
      <sheetData sheetId="32">
        <row r="8">
          <cell r="R8">
            <v>123119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R8">
            <v>25025</v>
          </cell>
        </row>
      </sheetData>
      <sheetData sheetId="52">
        <row r="8">
          <cell r="R8">
            <v>123119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D1E5-4EED-4958-BFA0-B2BF776CB2A4}">
  <dimension ref="B7:I27"/>
  <sheetViews>
    <sheetView showGridLines="0" tabSelected="1" workbookViewId="0">
      <selection activeCell="D7" sqref="D7"/>
    </sheetView>
  </sheetViews>
  <sheetFormatPr defaultRowHeight="12.5" x14ac:dyDescent="0.25"/>
  <cols>
    <col min="3" max="3" width="17" customWidth="1"/>
    <col min="4" max="4" width="6.6328125" customWidth="1"/>
    <col min="5" max="5" width="40.08984375" customWidth="1"/>
  </cols>
  <sheetData>
    <row r="7" spans="2:9" ht="14.5" x14ac:dyDescent="0.35">
      <c r="C7" s="1" t="s">
        <v>220</v>
      </c>
      <c r="E7" s="2"/>
      <c r="F7" s="2"/>
      <c r="G7" s="3"/>
      <c r="H7" s="3"/>
      <c r="I7" s="3"/>
    </row>
    <row r="8" spans="2:9" ht="14.5" x14ac:dyDescent="0.35">
      <c r="C8" s="3"/>
      <c r="D8" s="1">
        <v>1</v>
      </c>
      <c r="E8" s="4" t="s">
        <v>0</v>
      </c>
      <c r="F8" s="2"/>
      <c r="G8" s="3"/>
      <c r="H8" s="3"/>
      <c r="I8" s="3"/>
    </row>
    <row r="9" spans="2:9" ht="14.5" x14ac:dyDescent="0.35">
      <c r="B9" s="5" t="s">
        <v>1</v>
      </c>
      <c r="D9" s="1">
        <v>2</v>
      </c>
      <c r="E9" s="4" t="s">
        <v>2</v>
      </c>
      <c r="F9" s="2"/>
      <c r="G9" s="3"/>
      <c r="H9" s="3"/>
      <c r="I9" s="3"/>
    </row>
    <row r="10" spans="2:9" ht="14.5" x14ac:dyDescent="0.35">
      <c r="C10" s="3"/>
      <c r="D10" s="1">
        <v>3</v>
      </c>
      <c r="E10" s="4" t="s">
        <v>3</v>
      </c>
      <c r="F10" s="2"/>
      <c r="G10" s="3"/>
      <c r="H10" s="3"/>
      <c r="I10" s="3"/>
    </row>
    <row r="11" spans="2:9" ht="14.5" x14ac:dyDescent="0.35">
      <c r="C11" s="3"/>
      <c r="D11" s="1">
        <v>4</v>
      </c>
      <c r="E11" s="4" t="s">
        <v>4</v>
      </c>
      <c r="F11" s="2"/>
      <c r="G11" s="3"/>
      <c r="H11" s="3"/>
      <c r="I11" s="3"/>
    </row>
    <row r="12" spans="2:9" ht="13.5" x14ac:dyDescent="0.35">
      <c r="C12" s="3"/>
      <c r="D12" s="3"/>
      <c r="E12" s="3"/>
      <c r="F12" s="3"/>
      <c r="G12" s="3"/>
      <c r="H12" s="3"/>
      <c r="I12" s="3"/>
    </row>
    <row r="13" spans="2:9" ht="13.5" x14ac:dyDescent="0.35">
      <c r="C13" s="3"/>
      <c r="F13" s="3"/>
      <c r="G13" s="3"/>
      <c r="H13" s="3"/>
      <c r="I13" s="3"/>
    </row>
    <row r="14" spans="2:9" ht="13.5" x14ac:dyDescent="0.35">
      <c r="E14" s="6" t="s">
        <v>5</v>
      </c>
      <c r="G14" s="3"/>
      <c r="H14" s="3"/>
      <c r="I14" s="3"/>
    </row>
    <row r="15" spans="2:9" ht="13.5" x14ac:dyDescent="0.35">
      <c r="C15" s="3"/>
      <c r="D15" s="7"/>
      <c r="E15" s="8" t="s">
        <v>6</v>
      </c>
      <c r="G15" s="3"/>
      <c r="H15" s="3"/>
      <c r="I15" s="3"/>
    </row>
    <row r="16" spans="2:9" ht="13.5" x14ac:dyDescent="0.35">
      <c r="C16" s="3"/>
      <c r="D16" s="7"/>
      <c r="E16" s="8" t="s">
        <v>7</v>
      </c>
      <c r="G16" s="3"/>
      <c r="H16" s="3"/>
      <c r="I16" s="3"/>
    </row>
    <row r="17" spans="3:9" ht="13.5" x14ac:dyDescent="0.35">
      <c r="C17" s="3"/>
      <c r="D17" s="7"/>
      <c r="E17" s="8" t="s">
        <v>8</v>
      </c>
      <c r="G17" s="3"/>
      <c r="H17" s="3"/>
      <c r="I17" s="3"/>
    </row>
    <row r="18" spans="3:9" ht="13.5" x14ac:dyDescent="0.35">
      <c r="C18" s="3"/>
      <c r="D18" s="7"/>
      <c r="E18" s="8" t="s">
        <v>9</v>
      </c>
      <c r="G18" s="3"/>
      <c r="H18" s="3"/>
      <c r="I18" s="3"/>
    </row>
    <row r="19" spans="3:9" ht="13.5" x14ac:dyDescent="0.35">
      <c r="C19" s="3"/>
      <c r="D19" s="7"/>
      <c r="E19" s="8" t="s">
        <v>10</v>
      </c>
      <c r="G19" s="3"/>
      <c r="H19" s="3"/>
      <c r="I19" s="3"/>
    </row>
    <row r="20" spans="3:9" ht="13.5" x14ac:dyDescent="0.35">
      <c r="C20" s="3"/>
      <c r="D20" s="7"/>
      <c r="E20" s="8" t="s">
        <v>11</v>
      </c>
      <c r="G20" s="3"/>
      <c r="H20" s="3"/>
      <c r="I20" s="3"/>
    </row>
    <row r="21" spans="3:9" ht="13.5" x14ac:dyDescent="0.35">
      <c r="C21" s="3"/>
      <c r="D21" s="3"/>
      <c r="E21" s="8" t="s">
        <v>12</v>
      </c>
      <c r="F21" s="3"/>
      <c r="G21" s="3"/>
      <c r="H21" s="3"/>
      <c r="I21" s="3"/>
    </row>
    <row r="22" spans="3:9" ht="13.5" x14ac:dyDescent="0.35">
      <c r="C22" s="3"/>
    </row>
    <row r="23" spans="3:9" ht="13.5" x14ac:dyDescent="0.35">
      <c r="C23" s="3"/>
    </row>
    <row r="24" spans="3:9" ht="13.5" x14ac:dyDescent="0.35">
      <c r="C24" s="3"/>
    </row>
    <row r="25" spans="3:9" ht="13.5" x14ac:dyDescent="0.35">
      <c r="C25" s="3"/>
      <c r="D25" s="3"/>
      <c r="E25" s="3"/>
      <c r="F25" s="3"/>
      <c r="G25" s="3"/>
      <c r="H25" s="3"/>
      <c r="I25" s="3"/>
    </row>
    <row r="26" spans="3:9" ht="13.5" x14ac:dyDescent="0.35">
      <c r="C26" s="3"/>
      <c r="D26" s="3"/>
      <c r="E26" s="3"/>
      <c r="F26" s="3"/>
      <c r="G26" s="3"/>
      <c r="H26" s="3"/>
      <c r="I26" s="3"/>
    </row>
    <row r="27" spans="3:9" ht="13.5" x14ac:dyDescent="0.35">
      <c r="C27" s="3"/>
      <c r="D27" s="3"/>
      <c r="E27" s="3"/>
      <c r="F27" s="3"/>
      <c r="G27" s="3"/>
      <c r="H27" s="3"/>
      <c r="I27" s="3"/>
    </row>
  </sheetData>
  <hyperlinks>
    <hyperlink ref="E9" location="'JLR Quarterly Wholesale Carline'!A1" display="JLR Quarterly Wholesales by Carline" xr:uid="{C0545C71-2706-4A26-B840-0B815476D88E}"/>
    <hyperlink ref="E10" location="'JLR Quarterly Retails Region'!A1" display="JLR Quarterly Retails by Region" xr:uid="{632B98F1-4C4F-4C71-BB5F-4A9F44273831}"/>
    <hyperlink ref="E11" location="'JLR Quarterly Wholesales Region'!A1" display="JLR Quarterly Wholesales by Region" xr:uid="{0A8CF2E5-708C-43C0-91B8-F0767DD2B328}"/>
    <hyperlink ref="E8" location="'JLR Quarterly Retails Carline'!A1" display="JLR Quarterly Retails by Carline" xr:uid="{2310F786-93F3-48A0-B8AD-7CC560825EB6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DE10-537C-4B62-87E9-4867C8C0324E}">
  <sheetPr>
    <pageSetUpPr fitToPage="1"/>
  </sheetPr>
  <dimension ref="A1:G566"/>
  <sheetViews>
    <sheetView showGridLines="0" topLeftCell="A21" zoomScaleNormal="100" workbookViewId="0">
      <selection activeCell="D32" sqref="D32"/>
    </sheetView>
  </sheetViews>
  <sheetFormatPr defaultRowHeight="12.5" x14ac:dyDescent="0.25"/>
  <cols>
    <col min="1" max="1" width="35.6328125" style="21" customWidth="1"/>
    <col min="2" max="6" width="14.6328125" customWidth="1"/>
  </cols>
  <sheetData>
    <row r="1" spans="1:7" x14ac:dyDescent="0.25">
      <c r="A1" s="9" t="s">
        <v>13</v>
      </c>
    </row>
    <row r="2" spans="1:7" x14ac:dyDescent="0.25">
      <c r="A2" s="10"/>
    </row>
    <row r="3" spans="1:7" ht="13" x14ac:dyDescent="0.3">
      <c r="A3" s="11" t="s">
        <v>14</v>
      </c>
    </row>
    <row r="5" spans="1:7" ht="13" x14ac:dyDescent="0.3">
      <c r="A5" s="12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4"/>
    </row>
    <row r="6" spans="1:7" ht="13" x14ac:dyDescent="0.3">
      <c r="A6" s="15" t="s">
        <v>21</v>
      </c>
      <c r="B6" s="16">
        <f>[11]SmartView!D36</f>
        <v>18228</v>
      </c>
      <c r="C6" s="16">
        <f>[11]SmartView!E36</f>
        <v>15276</v>
      </c>
      <c r="D6" s="16">
        <f>[11]SmartView!F36</f>
        <v>10241</v>
      </c>
      <c r="E6" s="16">
        <f>[11]SmartView!G36</f>
        <v>0</v>
      </c>
      <c r="F6" s="17">
        <f t="shared" ref="F6:F9" si="0">B6+C6+D6+E6</f>
        <v>43745</v>
      </c>
      <c r="G6" s="14"/>
    </row>
    <row r="7" spans="1:7" ht="13" x14ac:dyDescent="0.3">
      <c r="A7" s="15" t="s">
        <v>22</v>
      </c>
      <c r="B7" s="16">
        <f>[11]SmartView!D37</f>
        <v>20942</v>
      </c>
      <c r="C7" s="16">
        <f>[11]SmartView!E37</f>
        <v>14155</v>
      </c>
      <c r="D7" s="16">
        <f>[11]SmartView!F37</f>
        <v>12141</v>
      </c>
      <c r="E7" s="16">
        <f>[11]SmartView!G37</f>
        <v>0</v>
      </c>
      <c r="F7" s="17">
        <f t="shared" si="0"/>
        <v>47238</v>
      </c>
      <c r="G7" s="14"/>
    </row>
    <row r="8" spans="1:7" ht="13" x14ac:dyDescent="0.3">
      <c r="A8" s="15" t="s">
        <v>23</v>
      </c>
      <c r="B8" s="16">
        <f>[11]SmartView!D38</f>
        <v>5205</v>
      </c>
      <c r="C8" s="16">
        <f>[11]SmartView!E38</f>
        <v>3547</v>
      </c>
      <c r="D8" s="16">
        <f>[11]SmartView!F38</f>
        <v>3694</v>
      </c>
      <c r="E8" s="16">
        <f>[11]SmartView!G38</f>
        <v>0</v>
      </c>
      <c r="F8" s="17">
        <f t="shared" si="0"/>
        <v>12446</v>
      </c>
      <c r="G8" s="14"/>
    </row>
    <row r="9" spans="1:7" ht="13" x14ac:dyDescent="0.3">
      <c r="A9" s="15" t="s">
        <v>24</v>
      </c>
      <c r="B9" s="16">
        <f>[11]SmartView!D39</f>
        <v>6500</v>
      </c>
      <c r="C9" s="16">
        <f>[11]SmartView!E39</f>
        <v>5818</v>
      </c>
      <c r="D9" s="16">
        <f>[11]SmartView!F39</f>
        <v>5773</v>
      </c>
      <c r="E9" s="16">
        <f>[11]SmartView!G39</f>
        <v>0</v>
      </c>
      <c r="F9" s="17">
        <f t="shared" si="0"/>
        <v>18091</v>
      </c>
      <c r="G9" s="14"/>
    </row>
    <row r="10" spans="1:7" x14ac:dyDescent="0.25">
      <c r="A10" s="18" t="s">
        <v>25</v>
      </c>
      <c r="B10" s="19">
        <f>SUM(B6:B9)</f>
        <v>50875</v>
      </c>
      <c r="C10" s="20">
        <f>SUM(C6:C9)</f>
        <v>38796</v>
      </c>
      <c r="D10" s="20">
        <f>SUM(D6:D9)</f>
        <v>31849</v>
      </c>
      <c r="E10" s="20">
        <f>SUM(E6:E9)</f>
        <v>0</v>
      </c>
      <c r="F10" s="19">
        <f>SUM(F6:F9)</f>
        <v>121520</v>
      </c>
      <c r="G10" s="14"/>
    </row>
    <row r="11" spans="1:7" x14ac:dyDescent="0.25">
      <c r="G11" s="14"/>
    </row>
    <row r="12" spans="1:7" ht="13" x14ac:dyDescent="0.3">
      <c r="A12" s="12" t="s">
        <v>26</v>
      </c>
      <c r="B12" s="13" t="str">
        <f>B5</f>
        <v>Q1 FY 26</v>
      </c>
      <c r="C12" s="13" t="str">
        <f>C5</f>
        <v>Q2 FY 26</v>
      </c>
      <c r="D12" s="13" t="str">
        <f>D5</f>
        <v>Q3 FY 26</v>
      </c>
      <c r="E12" s="13" t="str">
        <f>E5</f>
        <v>Q4 FY 26</v>
      </c>
      <c r="F12" s="13" t="s">
        <v>20</v>
      </c>
      <c r="G12" s="14"/>
    </row>
    <row r="13" spans="1:7" ht="13" x14ac:dyDescent="0.3">
      <c r="A13" s="15" t="s">
        <v>27</v>
      </c>
      <c r="B13" s="16">
        <f>[11]SmartView!D41</f>
        <v>28251</v>
      </c>
      <c r="C13" s="16">
        <f>[11]SmartView!E41</f>
        <v>21300</v>
      </c>
      <c r="D13" s="16">
        <f>[11]SmartView!F41</f>
        <v>21553</v>
      </c>
      <c r="E13" s="16">
        <f>[11]SmartView!G41</f>
        <v>0</v>
      </c>
      <c r="F13" s="17">
        <f t="shared" ref="F13" si="1">B13+C13+D13+E13</f>
        <v>71104</v>
      </c>
      <c r="G13" s="14"/>
    </row>
    <row r="14" spans="1:7" x14ac:dyDescent="0.25">
      <c r="A14" s="18" t="s">
        <v>28</v>
      </c>
      <c r="B14" s="19">
        <f>SUM(B13:B13)</f>
        <v>28251</v>
      </c>
      <c r="C14" s="20">
        <f>SUM(C13:C13)</f>
        <v>21300</v>
      </c>
      <c r="D14" s="20">
        <f>SUM(D13:D13)</f>
        <v>21553</v>
      </c>
      <c r="E14" s="20">
        <f>SUM(E13:E13)</f>
        <v>0</v>
      </c>
      <c r="F14" s="19">
        <f>SUM(F13:F13)</f>
        <v>71104</v>
      </c>
      <c r="G14" s="14"/>
    </row>
    <row r="15" spans="1:7" x14ac:dyDescent="0.25">
      <c r="G15" s="14"/>
    </row>
    <row r="16" spans="1:7" ht="13" x14ac:dyDescent="0.3">
      <c r="A16" s="12" t="s">
        <v>29</v>
      </c>
      <c r="B16" s="13" t="str">
        <f>B12</f>
        <v>Q1 FY 26</v>
      </c>
      <c r="C16" s="13" t="str">
        <f>C12</f>
        <v>Q2 FY 26</v>
      </c>
      <c r="D16" s="13" t="str">
        <f>D12</f>
        <v>Q3 FY 26</v>
      </c>
      <c r="E16" s="13" t="str">
        <f>E12</f>
        <v>Q4 FY 26</v>
      </c>
      <c r="F16" s="13" t="s">
        <v>20</v>
      </c>
      <c r="G16" s="14"/>
    </row>
    <row r="17" spans="1:7" ht="13" x14ac:dyDescent="0.3">
      <c r="A17" s="15" t="s">
        <v>30</v>
      </c>
      <c r="B17" s="16">
        <f>[11]SmartView!D43</f>
        <v>3282</v>
      </c>
      <c r="C17" s="16">
        <f>[11]SmartView!E43</f>
        <v>2351</v>
      </c>
      <c r="D17" s="16">
        <f>[11]SmartView!F43</f>
        <v>2143</v>
      </c>
      <c r="E17" s="16">
        <f>[11]SmartView!G43</f>
        <v>0</v>
      </c>
      <c r="F17" s="17">
        <f t="shared" ref="F17:F18" si="2">B17+C17+D17+E17</f>
        <v>7776</v>
      </c>
      <c r="G17" s="14"/>
    </row>
    <row r="18" spans="1:7" ht="13" x14ac:dyDescent="0.3">
      <c r="A18" s="15" t="s">
        <v>31</v>
      </c>
      <c r="B18" s="16">
        <f>[11]SmartView!D44</f>
        <v>2539</v>
      </c>
      <c r="C18" s="16">
        <f>[11]SmartView!E44</f>
        <v>2199</v>
      </c>
      <c r="D18" s="16">
        <f>[11]SmartView!F44</f>
        <v>2333</v>
      </c>
      <c r="E18" s="16">
        <f>[11]SmartView!G44</f>
        <v>0</v>
      </c>
      <c r="F18" s="17">
        <f t="shared" si="2"/>
        <v>7071</v>
      </c>
      <c r="G18" s="14"/>
    </row>
    <row r="19" spans="1:7" x14ac:dyDescent="0.25">
      <c r="A19" s="18" t="s">
        <v>32</v>
      </c>
      <c r="B19" s="19">
        <f>SUM(B17:B18)</f>
        <v>5821</v>
      </c>
      <c r="C19" s="20">
        <f>SUM(C17:C18)</f>
        <v>4550</v>
      </c>
      <c r="D19" s="20">
        <f>SUM(D17:D18)</f>
        <v>4476</v>
      </c>
      <c r="E19" s="20">
        <f>SUM(E17:E18)</f>
        <v>0</v>
      </c>
      <c r="F19" s="19">
        <f>SUM(F17:F18)</f>
        <v>14847</v>
      </c>
      <c r="G19" s="14"/>
    </row>
    <row r="20" spans="1:7" x14ac:dyDescent="0.25">
      <c r="G20" s="14"/>
    </row>
    <row r="21" spans="1:7" ht="13" x14ac:dyDescent="0.3">
      <c r="A21" s="12" t="s">
        <v>33</v>
      </c>
      <c r="B21" s="13" t="str">
        <f>B16</f>
        <v>Q1 FY 26</v>
      </c>
      <c r="C21" s="13" t="str">
        <f>C16</f>
        <v>Q2 FY 26</v>
      </c>
      <c r="D21" s="13" t="str">
        <f>D16</f>
        <v>Q3 FY 26</v>
      </c>
      <c r="E21" s="13" t="str">
        <f>E16</f>
        <v>Q4 FY 26</v>
      </c>
      <c r="F21" s="13" t="s">
        <v>20</v>
      </c>
      <c r="G21" s="14"/>
    </row>
    <row r="22" spans="1:7" ht="13" x14ac:dyDescent="0.3">
      <c r="A22" s="15" t="s">
        <v>34</v>
      </c>
      <c r="B22" s="16">
        <f>[11]SmartView!D46</f>
        <v>3</v>
      </c>
      <c r="C22" s="16">
        <f>[11]SmartView!E46</f>
        <v>0</v>
      </c>
      <c r="D22" s="16">
        <f>[11]SmartView!F46</f>
        <v>1</v>
      </c>
      <c r="E22" s="16">
        <f>[11]SmartView!G46</f>
        <v>0</v>
      </c>
      <c r="F22" s="17">
        <f t="shared" ref="F22:F28" si="3">B22+C22+D22+E22</f>
        <v>4</v>
      </c>
      <c r="G22" s="14"/>
    </row>
    <row r="23" spans="1:7" ht="13" x14ac:dyDescent="0.3">
      <c r="A23" s="15" t="s">
        <v>35</v>
      </c>
      <c r="B23" s="16">
        <f>[11]SmartView!D47</f>
        <v>95</v>
      </c>
      <c r="C23" s="16">
        <f>[11]SmartView!E47</f>
        <v>33</v>
      </c>
      <c r="D23" s="16">
        <f>[11]SmartView!F47</f>
        <v>48</v>
      </c>
      <c r="E23" s="16">
        <f>[11]SmartView!G47</f>
        <v>0</v>
      </c>
      <c r="F23" s="17">
        <f t="shared" si="3"/>
        <v>176</v>
      </c>
      <c r="G23" s="14"/>
    </row>
    <row r="24" spans="1:7" ht="13" x14ac:dyDescent="0.3">
      <c r="A24" s="15" t="s">
        <v>36</v>
      </c>
      <c r="B24" s="16">
        <f>[11]SmartView!D48</f>
        <v>2</v>
      </c>
      <c r="C24" s="16">
        <f>[11]SmartView!E48</f>
        <v>0</v>
      </c>
      <c r="D24" s="16">
        <f>[11]SmartView!F48</f>
        <v>1</v>
      </c>
      <c r="E24" s="16">
        <f>[11]SmartView!G48</f>
        <v>0</v>
      </c>
      <c r="F24" s="17">
        <f t="shared" si="3"/>
        <v>3</v>
      </c>
      <c r="G24" s="14"/>
    </row>
    <row r="25" spans="1:7" ht="13" x14ac:dyDescent="0.3">
      <c r="A25" s="15" t="s">
        <v>37</v>
      </c>
      <c r="B25" s="16">
        <f>[11]SmartView!D49</f>
        <v>123</v>
      </c>
      <c r="C25" s="16">
        <f>[11]SmartView!E49</f>
        <v>162</v>
      </c>
      <c r="D25" s="16">
        <f>[11]SmartView!F49</f>
        <v>108</v>
      </c>
      <c r="E25" s="16">
        <f>[11]SmartView!G49</f>
        <v>0</v>
      </c>
      <c r="F25" s="17">
        <f t="shared" si="3"/>
        <v>393</v>
      </c>
      <c r="G25" s="14"/>
    </row>
    <row r="26" spans="1:7" ht="13" x14ac:dyDescent="0.3">
      <c r="A26" s="15" t="s">
        <v>38</v>
      </c>
      <c r="B26" s="16">
        <f>[11]SmartView!D50</f>
        <v>39</v>
      </c>
      <c r="C26" s="16">
        <f>[11]SmartView!E50</f>
        <v>5</v>
      </c>
      <c r="D26" s="16">
        <f>[11]SmartView!F50</f>
        <v>10</v>
      </c>
      <c r="E26" s="16">
        <f>[11]SmartView!G50</f>
        <v>0</v>
      </c>
      <c r="F26" s="17">
        <f t="shared" si="3"/>
        <v>54</v>
      </c>
      <c r="G26" s="14"/>
    </row>
    <row r="27" spans="1:7" ht="13" x14ac:dyDescent="0.3">
      <c r="A27" s="15" t="s">
        <v>39</v>
      </c>
      <c r="B27" s="16">
        <f>[11]SmartView!D51</f>
        <v>1915</v>
      </c>
      <c r="C27" s="16">
        <f>[11]SmartView!E51</f>
        <v>1158</v>
      </c>
      <c r="D27" s="16">
        <f>[11]SmartView!F51</f>
        <v>1006</v>
      </c>
      <c r="E27" s="16">
        <f>[11]SmartView!G51</f>
        <v>0</v>
      </c>
      <c r="F27" s="22">
        <f t="shared" si="3"/>
        <v>4079</v>
      </c>
      <c r="G27" s="14"/>
    </row>
    <row r="28" spans="1:7" ht="13" x14ac:dyDescent="0.3">
      <c r="A28" s="15" t="s">
        <v>40</v>
      </c>
      <c r="B28" s="16">
        <f>[11]SmartView!D52</f>
        <v>162</v>
      </c>
      <c r="C28" s="16">
        <f>[11]SmartView!E52</f>
        <v>161</v>
      </c>
      <c r="D28" s="16">
        <f>[11]SmartView!F52</f>
        <v>97</v>
      </c>
      <c r="E28" s="16">
        <f>[11]SmartView!G52</f>
        <v>0</v>
      </c>
      <c r="F28" s="17">
        <f t="shared" si="3"/>
        <v>420</v>
      </c>
      <c r="G28" s="14"/>
    </row>
    <row r="29" spans="1:7" x14ac:dyDescent="0.25">
      <c r="A29" s="18" t="s">
        <v>41</v>
      </c>
      <c r="B29" s="19">
        <f>SUM(B22:B28)</f>
        <v>2339</v>
      </c>
      <c r="C29" s="20">
        <f>SUM(C22:C28)</f>
        <v>1519</v>
      </c>
      <c r="D29" s="20">
        <f>SUM(D22:D28)</f>
        <v>1271</v>
      </c>
      <c r="E29" s="20">
        <f>SUM(E22:E28)</f>
        <v>0</v>
      </c>
      <c r="F29" s="19">
        <f>SUM(F22:F28)</f>
        <v>5129</v>
      </c>
      <c r="G29" s="14"/>
    </row>
    <row r="30" spans="1:7" x14ac:dyDescent="0.25">
      <c r="G30" s="14"/>
    </row>
    <row r="31" spans="1:7" ht="13" x14ac:dyDescent="0.3">
      <c r="B31" s="13" t="str">
        <f>B5</f>
        <v>Q1 FY 26</v>
      </c>
      <c r="C31" s="13" t="str">
        <f>C5</f>
        <v>Q2 FY 26</v>
      </c>
      <c r="D31" s="13" t="str">
        <f>D5</f>
        <v>Q3 FY 26</v>
      </c>
      <c r="E31" s="13" t="str">
        <f>E5</f>
        <v>Q4 FY 26</v>
      </c>
      <c r="F31" s="13" t="str">
        <f>F5</f>
        <v>YTD</v>
      </c>
    </row>
    <row r="32" spans="1:7" x14ac:dyDescent="0.25">
      <c r="A32" s="12" t="s">
        <v>42</v>
      </c>
      <c r="B32" s="19">
        <f>B10+B14+B19+B29</f>
        <v>87286</v>
      </c>
      <c r="C32" s="20">
        <f>C10+C14+C19+C29</f>
        <v>66165</v>
      </c>
      <c r="D32" s="20">
        <f>D10+D14+D19+D29</f>
        <v>59149</v>
      </c>
      <c r="E32" s="20">
        <f>E10+E14+E19+E29</f>
        <v>0</v>
      </c>
      <c r="F32" s="19">
        <f>F10+F14+F19+F29</f>
        <v>212600</v>
      </c>
    </row>
    <row r="33" spans="1:7" x14ac:dyDescent="0.25">
      <c r="A33" s="23" t="s">
        <v>43</v>
      </c>
      <c r="B33" s="24"/>
      <c r="C33" s="24"/>
      <c r="D33" s="24"/>
      <c r="E33" s="24"/>
      <c r="F33" s="24"/>
    </row>
    <row r="34" spans="1:7" x14ac:dyDescent="0.25">
      <c r="A34" s="25"/>
      <c r="B34" s="25"/>
      <c r="C34" s="26"/>
      <c r="D34" s="26"/>
      <c r="E34" s="26"/>
      <c r="F34" s="26"/>
    </row>
    <row r="35" spans="1:7" x14ac:dyDescent="0.25">
      <c r="A35" s="27"/>
      <c r="B35" s="27"/>
      <c r="C35" s="28"/>
      <c r="D35" s="28"/>
      <c r="E35" s="28"/>
      <c r="F35" s="28"/>
    </row>
    <row r="36" spans="1:7" x14ac:dyDescent="0.25">
      <c r="A36" s="25"/>
      <c r="B36" s="25"/>
      <c r="C36" s="26"/>
      <c r="D36" s="26"/>
      <c r="E36" s="26"/>
      <c r="F36" s="26"/>
    </row>
    <row r="37" spans="1:7" ht="13" x14ac:dyDescent="0.3">
      <c r="A37" s="11" t="s">
        <v>44</v>
      </c>
    </row>
    <row r="39" spans="1:7" ht="13" x14ac:dyDescent="0.3">
      <c r="A39" s="12" t="s">
        <v>15</v>
      </c>
      <c r="B39" s="13" t="s">
        <v>45</v>
      </c>
      <c r="C39" s="13" t="s">
        <v>46</v>
      </c>
      <c r="D39" s="13" t="s">
        <v>47</v>
      </c>
      <c r="E39" s="13" t="s">
        <v>48</v>
      </c>
      <c r="F39" s="13" t="s">
        <v>20</v>
      </c>
      <c r="G39" s="14"/>
    </row>
    <row r="40" spans="1:7" ht="13" x14ac:dyDescent="0.3">
      <c r="A40" s="15" t="s">
        <v>21</v>
      </c>
      <c r="B40" s="16">
        <v>20617</v>
      </c>
      <c r="C40" s="16">
        <v>15481</v>
      </c>
      <c r="D40" s="16">
        <v>22944</v>
      </c>
      <c r="E40" s="16">
        <v>17673</v>
      </c>
      <c r="F40" s="17">
        <v>76715</v>
      </c>
      <c r="G40" s="14"/>
    </row>
    <row r="41" spans="1:7" ht="13" x14ac:dyDescent="0.3">
      <c r="A41" s="15" t="s">
        <v>22</v>
      </c>
      <c r="B41" s="16">
        <v>21136</v>
      </c>
      <c r="C41" s="16">
        <v>14228</v>
      </c>
      <c r="D41" s="16">
        <v>19837</v>
      </c>
      <c r="E41" s="16">
        <v>24661</v>
      </c>
      <c r="F41" s="17">
        <v>79862</v>
      </c>
      <c r="G41" s="14"/>
    </row>
    <row r="42" spans="1:7" ht="13" x14ac:dyDescent="0.3">
      <c r="A42" s="15" t="s">
        <v>23</v>
      </c>
      <c r="B42" s="16">
        <v>5123</v>
      </c>
      <c r="C42" s="16">
        <v>5095</v>
      </c>
      <c r="D42" s="16">
        <v>6037</v>
      </c>
      <c r="E42" s="16">
        <v>7534</v>
      </c>
      <c r="F42" s="17">
        <v>23789</v>
      </c>
      <c r="G42" s="14"/>
    </row>
    <row r="43" spans="1:7" ht="13" x14ac:dyDescent="0.3">
      <c r="A43" s="15" t="s">
        <v>24</v>
      </c>
      <c r="B43" s="16">
        <v>10506</v>
      </c>
      <c r="C43" s="16">
        <v>9957</v>
      </c>
      <c r="D43" s="16">
        <v>10348</v>
      </c>
      <c r="E43" s="16">
        <v>13429</v>
      </c>
      <c r="F43" s="17">
        <v>44240</v>
      </c>
      <c r="G43" s="14"/>
    </row>
    <row r="44" spans="1:7" x14ac:dyDescent="0.25">
      <c r="A44" s="18" t="s">
        <v>25</v>
      </c>
      <c r="B44" s="19">
        <v>57382</v>
      </c>
      <c r="C44" s="19">
        <v>44761</v>
      </c>
      <c r="D44" s="20">
        <v>59166</v>
      </c>
      <c r="E44" s="20">
        <v>63297</v>
      </c>
      <c r="F44" s="19">
        <v>224606</v>
      </c>
      <c r="G44" s="14"/>
    </row>
    <row r="45" spans="1:7" x14ac:dyDescent="0.25">
      <c r="G45" s="14"/>
    </row>
    <row r="46" spans="1:7" ht="13" x14ac:dyDescent="0.3">
      <c r="A46" s="12" t="s">
        <v>26</v>
      </c>
      <c r="B46" s="13" t="s">
        <v>45</v>
      </c>
      <c r="C46" s="13" t="s">
        <v>46</v>
      </c>
      <c r="D46" s="13" t="s">
        <v>47</v>
      </c>
      <c r="E46" s="13" t="s">
        <v>48</v>
      </c>
      <c r="F46" s="13" t="s">
        <v>20</v>
      </c>
      <c r="G46" s="14"/>
    </row>
    <row r="47" spans="1:7" ht="13" x14ac:dyDescent="0.3">
      <c r="A47" s="15" t="s">
        <v>27</v>
      </c>
      <c r="B47" s="16">
        <v>24530</v>
      </c>
      <c r="C47" s="16">
        <v>28777</v>
      </c>
      <c r="D47" s="16">
        <v>30605</v>
      </c>
      <c r="E47" s="16">
        <v>31492</v>
      </c>
      <c r="F47" s="17">
        <v>115404</v>
      </c>
      <c r="G47" s="14"/>
    </row>
    <row r="48" spans="1:7" x14ac:dyDescent="0.25">
      <c r="A48" s="18" t="s">
        <v>28</v>
      </c>
      <c r="B48" s="19">
        <v>24530</v>
      </c>
      <c r="C48" s="19">
        <v>28777</v>
      </c>
      <c r="D48" s="20">
        <v>30605</v>
      </c>
      <c r="E48" s="20">
        <v>31492</v>
      </c>
      <c r="F48" s="19">
        <v>115404</v>
      </c>
      <c r="G48" s="14"/>
    </row>
    <row r="49" spans="1:7" x14ac:dyDescent="0.25">
      <c r="G49" s="14"/>
    </row>
    <row r="50" spans="1:7" ht="13" x14ac:dyDescent="0.3">
      <c r="A50" s="12" t="s">
        <v>29</v>
      </c>
      <c r="B50" s="13" t="s">
        <v>45</v>
      </c>
      <c r="C50" s="13" t="s">
        <v>46</v>
      </c>
      <c r="D50" s="13" t="s">
        <v>47</v>
      </c>
      <c r="E50" s="13" t="s">
        <v>48</v>
      </c>
      <c r="F50" s="13" t="s">
        <v>20</v>
      </c>
      <c r="G50" s="14"/>
    </row>
    <row r="51" spans="1:7" ht="13" x14ac:dyDescent="0.3">
      <c r="A51" s="15" t="s">
        <v>30</v>
      </c>
      <c r="B51" s="16">
        <v>3286</v>
      </c>
      <c r="C51" s="16">
        <v>2340</v>
      </c>
      <c r="D51" s="16">
        <v>4543</v>
      </c>
      <c r="E51" s="16">
        <v>4264</v>
      </c>
      <c r="F51" s="17">
        <v>14433</v>
      </c>
      <c r="G51" s="14"/>
    </row>
    <row r="52" spans="1:7" ht="13" x14ac:dyDescent="0.3">
      <c r="A52" s="15" t="s">
        <v>31</v>
      </c>
      <c r="B52" s="16">
        <v>4330</v>
      </c>
      <c r="C52" s="16">
        <v>5464</v>
      </c>
      <c r="D52" s="16">
        <v>4509</v>
      </c>
      <c r="E52" s="16">
        <v>5290</v>
      </c>
      <c r="F52" s="17">
        <v>19593</v>
      </c>
      <c r="G52" s="14"/>
    </row>
    <row r="53" spans="1:7" x14ac:dyDescent="0.25">
      <c r="A53" s="18" t="s">
        <v>32</v>
      </c>
      <c r="B53" s="19">
        <v>7616</v>
      </c>
      <c r="C53" s="19">
        <v>7804</v>
      </c>
      <c r="D53" s="20">
        <v>9052</v>
      </c>
      <c r="E53" s="20">
        <v>9554</v>
      </c>
      <c r="F53" s="19">
        <v>34026</v>
      </c>
      <c r="G53" s="14"/>
    </row>
    <row r="54" spans="1:7" x14ac:dyDescent="0.25">
      <c r="G54" s="14"/>
    </row>
    <row r="55" spans="1:7" ht="13" x14ac:dyDescent="0.3">
      <c r="A55" s="12" t="s">
        <v>33</v>
      </c>
      <c r="B55" s="13" t="s">
        <v>45</v>
      </c>
      <c r="C55" s="13" t="s">
        <v>46</v>
      </c>
      <c r="D55" s="13" t="s">
        <v>47</v>
      </c>
      <c r="E55" s="13" t="s">
        <v>48</v>
      </c>
      <c r="F55" s="13" t="s">
        <v>20</v>
      </c>
      <c r="G55" s="14"/>
    </row>
    <row r="56" spans="1:7" ht="13" x14ac:dyDescent="0.3">
      <c r="A56" s="15" t="s">
        <v>34</v>
      </c>
      <c r="B56" s="16">
        <v>157</v>
      </c>
      <c r="C56" s="16">
        <v>26</v>
      </c>
      <c r="D56" s="16">
        <v>7</v>
      </c>
      <c r="E56" s="16">
        <v>14</v>
      </c>
      <c r="F56" s="17">
        <v>204</v>
      </c>
      <c r="G56" s="14"/>
    </row>
    <row r="57" spans="1:7" ht="13" x14ac:dyDescent="0.3">
      <c r="A57" s="15" t="s">
        <v>35</v>
      </c>
      <c r="B57" s="16">
        <v>468</v>
      </c>
      <c r="C57" s="16">
        <v>34</v>
      </c>
      <c r="D57" s="16">
        <v>49</v>
      </c>
      <c r="E57" s="16">
        <v>90</v>
      </c>
      <c r="F57" s="17">
        <v>641</v>
      </c>
      <c r="G57" s="14"/>
    </row>
    <row r="58" spans="1:7" ht="13" x14ac:dyDescent="0.3">
      <c r="A58" s="15" t="s">
        <v>36</v>
      </c>
      <c r="B58" s="16">
        <v>0</v>
      </c>
      <c r="C58" s="16">
        <v>1</v>
      </c>
      <c r="D58" s="16">
        <v>2</v>
      </c>
      <c r="E58" s="16">
        <v>0</v>
      </c>
      <c r="F58" s="17">
        <v>3</v>
      </c>
      <c r="G58" s="14"/>
    </row>
    <row r="59" spans="1:7" ht="13" x14ac:dyDescent="0.3">
      <c r="A59" s="15" t="s">
        <v>37</v>
      </c>
      <c r="B59" s="16">
        <v>496</v>
      </c>
      <c r="C59" s="16">
        <v>188</v>
      </c>
      <c r="D59" s="16">
        <v>112</v>
      </c>
      <c r="E59" s="16">
        <v>221</v>
      </c>
      <c r="F59" s="17">
        <v>1017</v>
      </c>
      <c r="G59" s="14"/>
    </row>
    <row r="60" spans="1:7" ht="13" x14ac:dyDescent="0.3">
      <c r="A60" s="15" t="s">
        <v>38</v>
      </c>
      <c r="B60" s="16">
        <v>1355</v>
      </c>
      <c r="C60" s="16">
        <v>1066</v>
      </c>
      <c r="D60" s="16">
        <v>912</v>
      </c>
      <c r="E60" s="16">
        <v>219</v>
      </c>
      <c r="F60" s="17">
        <v>3552</v>
      </c>
      <c r="G60" s="14"/>
    </row>
    <row r="61" spans="1:7" ht="13" x14ac:dyDescent="0.3">
      <c r="A61" s="15" t="s">
        <v>39</v>
      </c>
      <c r="B61" s="16">
        <v>3392</v>
      </c>
      <c r="C61" s="16">
        <v>3207</v>
      </c>
      <c r="D61" s="16">
        <v>2664</v>
      </c>
      <c r="E61" s="16">
        <v>4320</v>
      </c>
      <c r="F61" s="22">
        <v>13583</v>
      </c>
      <c r="G61" s="14"/>
    </row>
    <row r="62" spans="1:7" ht="13" x14ac:dyDescent="0.3">
      <c r="A62" s="15" t="s">
        <v>40</v>
      </c>
      <c r="B62" s="16">
        <v>2359</v>
      </c>
      <c r="C62" s="16">
        <v>1439</v>
      </c>
      <c r="D62" s="16">
        <v>1858</v>
      </c>
      <c r="E62" s="16">
        <v>2206</v>
      </c>
      <c r="F62" s="17">
        <v>7862</v>
      </c>
      <c r="G62" s="14"/>
    </row>
    <row r="63" spans="1:7" x14ac:dyDescent="0.25">
      <c r="A63" s="18" t="s">
        <v>41</v>
      </c>
      <c r="B63" s="19">
        <v>8227</v>
      </c>
      <c r="C63" s="19">
        <v>5961</v>
      </c>
      <c r="D63" s="20">
        <v>5604</v>
      </c>
      <c r="E63" s="20">
        <v>7070</v>
      </c>
      <c r="F63" s="19">
        <v>26862</v>
      </c>
      <c r="G63" s="14"/>
    </row>
    <row r="64" spans="1:7" x14ac:dyDescent="0.25">
      <c r="G64" s="14"/>
    </row>
    <row r="65" spans="1:6" ht="13" x14ac:dyDescent="0.3">
      <c r="B65" s="13" t="s">
        <v>45</v>
      </c>
      <c r="C65" s="13" t="s">
        <v>46</v>
      </c>
      <c r="D65" s="13" t="s">
        <v>47</v>
      </c>
      <c r="E65" s="13" t="s">
        <v>48</v>
      </c>
      <c r="F65" s="13" t="s">
        <v>20</v>
      </c>
    </row>
    <row r="66" spans="1:6" x14ac:dyDescent="0.25">
      <c r="A66" s="12" t="s">
        <v>42</v>
      </c>
      <c r="B66" s="19">
        <v>97755</v>
      </c>
      <c r="C66" s="19">
        <v>87303</v>
      </c>
      <c r="D66" s="20">
        <v>104427</v>
      </c>
      <c r="E66" s="20">
        <v>111413</v>
      </c>
      <c r="F66" s="19">
        <v>400898</v>
      </c>
    </row>
    <row r="67" spans="1:6" x14ac:dyDescent="0.25">
      <c r="A67" s="23" t="s">
        <v>43</v>
      </c>
      <c r="B67" s="24"/>
      <c r="C67" s="24"/>
      <c r="D67" s="24"/>
      <c r="E67" s="24"/>
      <c r="F67" s="24"/>
    </row>
    <row r="68" spans="1:6" x14ac:dyDescent="0.25">
      <c r="A68" s="25"/>
      <c r="B68" s="25"/>
      <c r="C68" s="26"/>
      <c r="D68" s="26"/>
      <c r="E68" s="26"/>
      <c r="F68" s="26"/>
    </row>
    <row r="69" spans="1:6" x14ac:dyDescent="0.25">
      <c r="A69" s="27"/>
      <c r="B69" s="27"/>
      <c r="C69" s="28"/>
      <c r="D69" s="28"/>
      <c r="E69" s="28"/>
      <c r="F69" s="28"/>
    </row>
    <row r="70" spans="1:6" x14ac:dyDescent="0.25">
      <c r="A70" s="10"/>
    </row>
    <row r="71" spans="1:6" ht="13" x14ac:dyDescent="0.3">
      <c r="A71" s="11" t="s">
        <v>49</v>
      </c>
    </row>
    <row r="72" spans="1:6" ht="13" x14ac:dyDescent="0.3">
      <c r="A72" s="29"/>
    </row>
    <row r="73" spans="1:6" ht="13" x14ac:dyDescent="0.3">
      <c r="A73" s="12" t="s">
        <v>50</v>
      </c>
      <c r="B73" s="30" t="s">
        <v>51</v>
      </c>
      <c r="C73" s="30" t="s">
        <v>52</v>
      </c>
      <c r="D73" s="30" t="s">
        <v>53</v>
      </c>
      <c r="E73" s="30" t="s">
        <v>54</v>
      </c>
      <c r="F73" s="30" t="s">
        <v>20</v>
      </c>
    </row>
    <row r="74" spans="1:6" x14ac:dyDescent="0.25">
      <c r="A74" s="15" t="s">
        <v>55</v>
      </c>
      <c r="B74" s="17">
        <v>346</v>
      </c>
      <c r="C74" s="17">
        <v>457</v>
      </c>
      <c r="D74" s="17">
        <v>544</v>
      </c>
      <c r="E74" s="22">
        <v>472</v>
      </c>
      <c r="F74" s="22">
        <v>1819</v>
      </c>
    </row>
    <row r="75" spans="1:6" x14ac:dyDescent="0.25">
      <c r="A75" s="15" t="s">
        <v>56</v>
      </c>
      <c r="B75" s="17">
        <v>605</v>
      </c>
      <c r="C75" s="17">
        <v>795</v>
      </c>
      <c r="D75" s="17">
        <v>892</v>
      </c>
      <c r="E75" s="22">
        <v>1220</v>
      </c>
      <c r="F75" s="22">
        <v>3512</v>
      </c>
    </row>
    <row r="76" spans="1:6" x14ac:dyDescent="0.25">
      <c r="A76" s="15" t="s">
        <v>57</v>
      </c>
      <c r="B76" s="17">
        <v>1</v>
      </c>
      <c r="C76" s="17">
        <v>0</v>
      </c>
      <c r="D76" s="17">
        <v>1</v>
      </c>
      <c r="E76" s="22">
        <v>0</v>
      </c>
      <c r="F76" s="22">
        <v>2</v>
      </c>
    </row>
    <row r="77" spans="1:6" x14ac:dyDescent="0.25">
      <c r="A77" s="15" t="s">
        <v>58</v>
      </c>
      <c r="B77" s="17">
        <v>2259</v>
      </c>
      <c r="C77" s="17">
        <v>2829</v>
      </c>
      <c r="D77" s="17">
        <v>2060</v>
      </c>
      <c r="E77" s="22">
        <v>2045</v>
      </c>
      <c r="F77" s="22">
        <v>9193</v>
      </c>
    </row>
    <row r="78" spans="1:6" x14ac:dyDescent="0.25">
      <c r="A78" s="15" t="s">
        <v>59</v>
      </c>
      <c r="B78" s="17">
        <v>4565</v>
      </c>
      <c r="C78" s="17">
        <v>7106</v>
      </c>
      <c r="D78" s="17">
        <v>6668</v>
      </c>
      <c r="E78" s="22">
        <v>7405</v>
      </c>
      <c r="F78" s="22">
        <v>25744</v>
      </c>
    </row>
    <row r="79" spans="1:6" x14ac:dyDescent="0.25">
      <c r="A79" s="15" t="s">
        <v>40</v>
      </c>
      <c r="B79" s="17">
        <v>1647</v>
      </c>
      <c r="C79" s="17">
        <v>1296</v>
      </c>
      <c r="D79" s="17">
        <v>1096</v>
      </c>
      <c r="E79" s="22">
        <v>1382</v>
      </c>
      <c r="F79" s="22">
        <v>5421</v>
      </c>
    </row>
    <row r="80" spans="1:6" x14ac:dyDescent="0.25">
      <c r="A80" s="15" t="s">
        <v>60</v>
      </c>
      <c r="B80" s="17">
        <v>901</v>
      </c>
      <c r="C80" s="17">
        <v>1077</v>
      </c>
      <c r="D80" s="17">
        <v>888</v>
      </c>
      <c r="E80" s="22">
        <v>1004</v>
      </c>
      <c r="F80" s="22">
        <v>3870</v>
      </c>
    </row>
    <row r="81" spans="1:6" x14ac:dyDescent="0.25">
      <c r="A81" s="18" t="s">
        <v>41</v>
      </c>
      <c r="B81" s="19">
        <v>10324</v>
      </c>
      <c r="C81" s="19">
        <v>13560</v>
      </c>
      <c r="D81" s="19">
        <v>12149</v>
      </c>
      <c r="E81" s="19">
        <v>13528</v>
      </c>
      <c r="F81" s="19">
        <v>49561</v>
      </c>
    </row>
    <row r="82" spans="1:6" x14ac:dyDescent="0.25">
      <c r="B82" s="31"/>
    </row>
    <row r="84" spans="1:6" ht="13" x14ac:dyDescent="0.3">
      <c r="A84" s="12" t="s">
        <v>61</v>
      </c>
      <c r="B84" s="13" t="s">
        <v>51</v>
      </c>
      <c r="C84" s="13" t="s">
        <v>52</v>
      </c>
      <c r="D84" s="13" t="s">
        <v>53</v>
      </c>
      <c r="E84" s="13" t="s">
        <v>54</v>
      </c>
      <c r="F84" s="13" t="s">
        <v>20</v>
      </c>
    </row>
    <row r="85" spans="1:6" x14ac:dyDescent="0.25">
      <c r="A85" s="15" t="s">
        <v>27</v>
      </c>
      <c r="B85" s="17">
        <v>28301</v>
      </c>
      <c r="C85" s="17">
        <v>30456</v>
      </c>
      <c r="D85" s="17">
        <v>27117</v>
      </c>
      <c r="E85" s="22">
        <v>28702</v>
      </c>
      <c r="F85" s="22">
        <v>114576</v>
      </c>
    </row>
    <row r="86" spans="1:6" x14ac:dyDescent="0.25">
      <c r="A86" s="15" t="s">
        <v>62</v>
      </c>
      <c r="B86" s="17">
        <v>0</v>
      </c>
      <c r="C86" s="17">
        <v>0</v>
      </c>
      <c r="D86" s="17">
        <v>0</v>
      </c>
      <c r="E86" s="22">
        <v>0</v>
      </c>
      <c r="F86" s="22">
        <v>0</v>
      </c>
    </row>
    <row r="87" spans="1:6" x14ac:dyDescent="0.25">
      <c r="A87" s="15" t="s">
        <v>63</v>
      </c>
      <c r="B87" s="17">
        <v>4245</v>
      </c>
      <c r="C87" s="17">
        <v>3709</v>
      </c>
      <c r="D87" s="17">
        <v>4697</v>
      </c>
      <c r="E87" s="22">
        <v>5268</v>
      </c>
      <c r="F87" s="22">
        <v>17919</v>
      </c>
    </row>
    <row r="88" spans="1:6" x14ac:dyDescent="0.25">
      <c r="A88" s="15" t="s">
        <v>30</v>
      </c>
      <c r="B88" s="17">
        <v>4736</v>
      </c>
      <c r="C88" s="17">
        <v>4819</v>
      </c>
      <c r="D88" s="17">
        <v>4223</v>
      </c>
      <c r="E88" s="22">
        <v>4412</v>
      </c>
      <c r="F88" s="22">
        <v>18190</v>
      </c>
    </row>
    <row r="89" spans="1:6" x14ac:dyDescent="0.25">
      <c r="A89" s="15" t="s">
        <v>22</v>
      </c>
      <c r="B89" s="17">
        <v>14452</v>
      </c>
      <c r="C89" s="17">
        <v>16619</v>
      </c>
      <c r="D89" s="17">
        <v>16921</v>
      </c>
      <c r="E89" s="22">
        <v>18726</v>
      </c>
      <c r="F89" s="22">
        <v>66718</v>
      </c>
    </row>
    <row r="90" spans="1:6" x14ac:dyDescent="0.25">
      <c r="A90" s="15" t="s">
        <v>21</v>
      </c>
      <c r="B90" s="17">
        <v>16907</v>
      </c>
      <c r="C90" s="17">
        <v>14440</v>
      </c>
      <c r="D90" s="17">
        <v>18843</v>
      </c>
      <c r="E90" s="22">
        <v>20233</v>
      </c>
      <c r="F90" s="22">
        <v>70423</v>
      </c>
    </row>
    <row r="91" spans="1:6" x14ac:dyDescent="0.25">
      <c r="A91" s="15" t="s">
        <v>23</v>
      </c>
      <c r="B91" s="17">
        <v>5276</v>
      </c>
      <c r="C91" s="17">
        <v>7284</v>
      </c>
      <c r="D91" s="17">
        <v>8109</v>
      </c>
      <c r="E91" s="22">
        <v>8340</v>
      </c>
      <c r="F91" s="22">
        <v>29009</v>
      </c>
    </row>
    <row r="92" spans="1:6" x14ac:dyDescent="0.25">
      <c r="A92" s="15" t="s">
        <v>64</v>
      </c>
      <c r="B92" s="17">
        <v>9012</v>
      </c>
      <c r="C92" s="17">
        <v>5930</v>
      </c>
      <c r="D92" s="17">
        <v>8984</v>
      </c>
      <c r="E92" s="22">
        <v>10981</v>
      </c>
      <c r="F92" s="22">
        <v>34907</v>
      </c>
    </row>
    <row r="93" spans="1:6" x14ac:dyDescent="0.25">
      <c r="A93" s="18" t="s">
        <v>65</v>
      </c>
      <c r="B93" s="19">
        <v>82929</v>
      </c>
      <c r="C93" s="19">
        <v>83257</v>
      </c>
      <c r="D93" s="19">
        <v>88894</v>
      </c>
      <c r="E93" s="19">
        <v>96662</v>
      </c>
      <c r="F93" s="19">
        <v>351742</v>
      </c>
    </row>
    <row r="95" spans="1:6" ht="13" x14ac:dyDescent="0.3">
      <c r="B95" s="13" t="s">
        <v>51</v>
      </c>
      <c r="C95" s="13" t="s">
        <v>52</v>
      </c>
      <c r="D95" s="13" t="s">
        <v>53</v>
      </c>
      <c r="E95" s="13" t="s">
        <v>54</v>
      </c>
      <c r="F95" s="13" t="s">
        <v>20</v>
      </c>
    </row>
    <row r="96" spans="1:6" x14ac:dyDescent="0.25">
      <c r="A96" s="12" t="s">
        <v>42</v>
      </c>
      <c r="B96" s="19">
        <v>93253</v>
      </c>
      <c r="C96" s="19">
        <v>96817</v>
      </c>
      <c r="D96" s="19">
        <v>101043</v>
      </c>
      <c r="E96" s="32">
        <v>110190</v>
      </c>
      <c r="F96" s="32">
        <v>401303</v>
      </c>
    </row>
    <row r="97" spans="1:6" x14ac:dyDescent="0.25">
      <c r="A97" s="23" t="s">
        <v>43</v>
      </c>
      <c r="B97" s="24"/>
      <c r="C97" s="24"/>
      <c r="D97" s="24"/>
      <c r="E97" s="24"/>
      <c r="F97" s="24"/>
    </row>
    <row r="98" spans="1:6" x14ac:dyDescent="0.25">
      <c r="A98" s="25"/>
      <c r="B98" s="25"/>
      <c r="C98" s="26"/>
      <c r="D98" s="26"/>
      <c r="E98" s="26"/>
      <c r="F98" s="26"/>
    </row>
    <row r="99" spans="1:6" x14ac:dyDescent="0.25">
      <c r="A99" s="27"/>
      <c r="B99" s="27"/>
      <c r="C99" s="28"/>
      <c r="D99" s="28"/>
      <c r="E99" s="28"/>
      <c r="F99" s="28"/>
    </row>
    <row r="100" spans="1:6" x14ac:dyDescent="0.25">
      <c r="A100" s="9" t="s">
        <v>13</v>
      </c>
    </row>
    <row r="101" spans="1:6" x14ac:dyDescent="0.25">
      <c r="A101" s="10"/>
    </row>
    <row r="102" spans="1:6" ht="13" x14ac:dyDescent="0.3">
      <c r="A102" s="11" t="s">
        <v>66</v>
      </c>
    </row>
    <row r="103" spans="1:6" ht="13" x14ac:dyDescent="0.3">
      <c r="A103" s="29"/>
    </row>
    <row r="104" spans="1:6" ht="13" x14ac:dyDescent="0.3">
      <c r="A104" s="12" t="s">
        <v>33</v>
      </c>
      <c r="B104" s="30" t="s">
        <v>67</v>
      </c>
      <c r="C104" s="30" t="s">
        <v>68</v>
      </c>
      <c r="D104" s="30" t="s">
        <v>69</v>
      </c>
      <c r="E104" s="30" t="s">
        <v>70</v>
      </c>
      <c r="F104" s="30" t="s">
        <v>20</v>
      </c>
    </row>
    <row r="105" spans="1:6" x14ac:dyDescent="0.25">
      <c r="A105" s="15" t="s">
        <v>34</v>
      </c>
      <c r="B105" s="17">
        <f>74+1876</f>
        <v>1950</v>
      </c>
      <c r="C105" s="22">
        <f>56+2106</f>
        <v>2162</v>
      </c>
      <c r="D105" s="22">
        <v>3564</v>
      </c>
      <c r="E105" s="22">
        <f>591+E133</f>
        <v>3946</v>
      </c>
      <c r="F105" s="22">
        <f t="shared" ref="F105:F111" si="4">B105+C105+D105+E105</f>
        <v>11622</v>
      </c>
    </row>
    <row r="106" spans="1:6" x14ac:dyDescent="0.25">
      <c r="A106" s="15" t="s">
        <v>35</v>
      </c>
      <c r="B106" s="17">
        <f>65+1793</f>
        <v>1858</v>
      </c>
      <c r="C106" s="22">
        <f>69+2510</f>
        <v>2579</v>
      </c>
      <c r="D106" s="22">
        <v>3392</v>
      </c>
      <c r="E106" s="22">
        <f>671+171+E132</f>
        <v>3238</v>
      </c>
      <c r="F106" s="22">
        <f t="shared" si="4"/>
        <v>11067</v>
      </c>
    </row>
    <row r="107" spans="1:6" x14ac:dyDescent="0.25">
      <c r="A107" s="15" t="s">
        <v>57</v>
      </c>
      <c r="B107" s="17">
        <v>4</v>
      </c>
      <c r="C107" s="22">
        <v>2</v>
      </c>
      <c r="D107" s="22">
        <v>2</v>
      </c>
      <c r="E107" s="22">
        <v>7</v>
      </c>
      <c r="F107" s="22">
        <f t="shared" si="4"/>
        <v>15</v>
      </c>
    </row>
    <row r="108" spans="1:6" x14ac:dyDescent="0.25">
      <c r="A108" s="15" t="s">
        <v>71</v>
      </c>
      <c r="B108" s="17">
        <v>2183</v>
      </c>
      <c r="C108" s="22">
        <v>1751</v>
      </c>
      <c r="D108" s="22">
        <v>725</v>
      </c>
      <c r="E108" s="22">
        <f>1457+E134</f>
        <v>1457</v>
      </c>
      <c r="F108" s="22">
        <f t="shared" si="4"/>
        <v>6116</v>
      </c>
    </row>
    <row r="109" spans="1:6" x14ac:dyDescent="0.25">
      <c r="A109" s="15" t="s">
        <v>59</v>
      </c>
      <c r="B109" s="17">
        <v>5434</v>
      </c>
      <c r="C109" s="22">
        <v>7474</v>
      </c>
      <c r="D109" s="22">
        <v>6230</v>
      </c>
      <c r="E109" s="22">
        <f>4385+2</f>
        <v>4387</v>
      </c>
      <c r="F109" s="22">
        <f t="shared" si="4"/>
        <v>23525</v>
      </c>
    </row>
    <row r="110" spans="1:6" x14ac:dyDescent="0.25">
      <c r="A110" s="15" t="s">
        <v>40</v>
      </c>
      <c r="B110" s="17">
        <v>1946</v>
      </c>
      <c r="C110" s="22">
        <v>1566</v>
      </c>
      <c r="D110" s="22">
        <v>1111</v>
      </c>
      <c r="E110" s="22">
        <v>1667</v>
      </c>
      <c r="F110" s="22">
        <f t="shared" si="4"/>
        <v>6290</v>
      </c>
    </row>
    <row r="111" spans="1:6" x14ac:dyDescent="0.25">
      <c r="A111" s="15" t="s">
        <v>60</v>
      </c>
      <c r="B111" s="33">
        <v>1221</v>
      </c>
      <c r="C111" s="22">
        <v>1097</v>
      </c>
      <c r="D111" s="34">
        <v>1251</v>
      </c>
      <c r="E111" s="22">
        <v>797</v>
      </c>
      <c r="F111" s="22">
        <f t="shared" si="4"/>
        <v>4366</v>
      </c>
    </row>
    <row r="112" spans="1:6" x14ac:dyDescent="0.25">
      <c r="A112" s="18" t="s">
        <v>41</v>
      </c>
      <c r="B112" s="19">
        <f>SUM(B105:B111)</f>
        <v>14596</v>
      </c>
      <c r="C112" s="19">
        <f>SUM(C105:C111)</f>
        <v>16631</v>
      </c>
      <c r="D112" s="19">
        <f>SUM(D105:D111)</f>
        <v>16275</v>
      </c>
      <c r="E112" s="19">
        <f>SUM(E105:E111)</f>
        <v>15499</v>
      </c>
      <c r="F112" s="19">
        <f>SUM(F105:F111)</f>
        <v>63001</v>
      </c>
    </row>
    <row r="113" spans="1:6" x14ac:dyDescent="0.25">
      <c r="B113" s="31"/>
    </row>
    <row r="115" spans="1:6" ht="13" x14ac:dyDescent="0.3">
      <c r="A115" s="12" t="s">
        <v>72</v>
      </c>
      <c r="B115" s="13" t="str">
        <f>B104</f>
        <v>Q1 FY 23</v>
      </c>
      <c r="C115" s="13" t="str">
        <f>C104</f>
        <v>Q2 FY 23</v>
      </c>
      <c r="D115" s="13" t="str">
        <f>D104</f>
        <v>Q3 FY 23</v>
      </c>
      <c r="E115" s="13" t="str">
        <f>E104</f>
        <v>Q4 FY 23</v>
      </c>
      <c r="F115" s="13" t="str">
        <f>F104</f>
        <v>YTD</v>
      </c>
    </row>
    <row r="116" spans="1:6" x14ac:dyDescent="0.25">
      <c r="A116" s="15" t="s">
        <v>27</v>
      </c>
      <c r="B116" s="17">
        <v>17706</v>
      </c>
      <c r="C116" s="22">
        <v>17483</v>
      </c>
      <c r="D116" s="22">
        <v>23816</v>
      </c>
      <c r="E116" s="22">
        <f>27474+39</f>
        <v>27513</v>
      </c>
      <c r="F116" s="22">
        <f>B116+C116+D116+E116</f>
        <v>86518</v>
      </c>
    </row>
    <row r="117" spans="1:6" x14ac:dyDescent="0.25">
      <c r="A117" s="15" t="s">
        <v>62</v>
      </c>
      <c r="B117" s="17">
        <v>0</v>
      </c>
      <c r="C117" s="22">
        <v>0</v>
      </c>
      <c r="D117" s="22">
        <v>0</v>
      </c>
      <c r="E117" s="22">
        <v>0</v>
      </c>
      <c r="F117" s="22">
        <f t="shared" ref="F117:F123" si="5">B117+C117+D117+E117</f>
        <v>0</v>
      </c>
    </row>
    <row r="118" spans="1:6" x14ac:dyDescent="0.25">
      <c r="A118" s="15" t="s">
        <v>31</v>
      </c>
      <c r="B118" s="17">
        <f>6379+3654</f>
        <v>10033</v>
      </c>
      <c r="C118" s="22">
        <f>5598+5249</f>
        <v>10847</v>
      </c>
      <c r="D118" s="22">
        <v>6369</v>
      </c>
      <c r="E118" s="22">
        <f>4891+E130</f>
        <v>7979</v>
      </c>
      <c r="F118" s="22">
        <f t="shared" si="5"/>
        <v>35228</v>
      </c>
    </row>
    <row r="119" spans="1:6" x14ac:dyDescent="0.25">
      <c r="A119" s="15" t="s">
        <v>30</v>
      </c>
      <c r="B119" s="17">
        <v>3843</v>
      </c>
      <c r="C119" s="22">
        <v>2757</v>
      </c>
      <c r="D119" s="22">
        <v>1984</v>
      </c>
      <c r="E119" s="22">
        <v>4721</v>
      </c>
      <c r="F119" s="22">
        <f t="shared" si="5"/>
        <v>13305</v>
      </c>
    </row>
    <row r="120" spans="1:6" x14ac:dyDescent="0.25">
      <c r="A120" s="15" t="s">
        <v>22</v>
      </c>
      <c r="B120" s="17">
        <v>8524</v>
      </c>
      <c r="C120" s="22">
        <v>4241</v>
      </c>
      <c r="D120" s="22">
        <v>11318</v>
      </c>
      <c r="E120" s="22">
        <f>218+13084+45</f>
        <v>13347</v>
      </c>
      <c r="F120" s="22">
        <f t="shared" si="5"/>
        <v>37430</v>
      </c>
    </row>
    <row r="121" spans="1:6" x14ac:dyDescent="0.25">
      <c r="A121" s="15" t="s">
        <v>21</v>
      </c>
      <c r="B121" s="22">
        <v>5936</v>
      </c>
      <c r="C121" s="22">
        <v>12157</v>
      </c>
      <c r="D121" s="22">
        <v>16682</v>
      </c>
      <c r="E121" s="22">
        <f>19404+128+71</f>
        <v>19603</v>
      </c>
      <c r="F121" s="22">
        <f t="shared" si="5"/>
        <v>54378</v>
      </c>
    </row>
    <row r="122" spans="1:6" x14ac:dyDescent="0.25">
      <c r="A122" s="15" t="s">
        <v>23</v>
      </c>
      <c r="B122" s="22">
        <v>6879</v>
      </c>
      <c r="C122" s="22">
        <v>9917</v>
      </c>
      <c r="D122" s="22">
        <v>5905</v>
      </c>
      <c r="E122" s="22">
        <v>6367</v>
      </c>
      <c r="F122" s="22">
        <f t="shared" si="5"/>
        <v>29068</v>
      </c>
    </row>
    <row r="123" spans="1:6" x14ac:dyDescent="0.25">
      <c r="A123" s="15" t="s">
        <v>24</v>
      </c>
      <c r="B123" s="34">
        <f>11621+3449</f>
        <v>15070</v>
      </c>
      <c r="C123" s="22">
        <f>11137+4727+2</f>
        <v>15866</v>
      </c>
      <c r="D123" s="34">
        <v>9996</v>
      </c>
      <c r="E123" s="22">
        <f>8459+E131</f>
        <v>12357</v>
      </c>
      <c r="F123" s="22">
        <f t="shared" si="5"/>
        <v>53289</v>
      </c>
    </row>
    <row r="124" spans="1:6" x14ac:dyDescent="0.25">
      <c r="A124" s="18" t="s">
        <v>65</v>
      </c>
      <c r="B124" s="19">
        <f>SUM(B116:B123)</f>
        <v>67991</v>
      </c>
      <c r="C124" s="19">
        <f>SUM(C116:C123)</f>
        <v>73268</v>
      </c>
      <c r="D124" s="19">
        <f>SUM(D116:D123)</f>
        <v>76070</v>
      </c>
      <c r="E124" s="19">
        <f>SUM(E116:E123)</f>
        <v>91887</v>
      </c>
      <c r="F124" s="19">
        <f>SUM(F116:F123)</f>
        <v>309216</v>
      </c>
    </row>
    <row r="126" spans="1:6" ht="13" x14ac:dyDescent="0.3">
      <c r="B126" s="13" t="str">
        <f>B115</f>
        <v>Q1 FY 23</v>
      </c>
      <c r="C126" s="13" t="str">
        <f>C115</f>
        <v>Q2 FY 23</v>
      </c>
      <c r="D126" s="13" t="str">
        <f>D115</f>
        <v>Q3 FY 23</v>
      </c>
      <c r="E126" s="13" t="str">
        <f>E115</f>
        <v>Q4 FY 23</v>
      </c>
      <c r="F126" s="13" t="str">
        <f>F115</f>
        <v>YTD</v>
      </c>
    </row>
    <row r="127" spans="1:6" x14ac:dyDescent="0.25">
      <c r="A127" s="12" t="s">
        <v>73</v>
      </c>
      <c r="B127" s="19">
        <f>B124+B112</f>
        <v>82587</v>
      </c>
      <c r="C127" s="19">
        <f>C124+C112</f>
        <v>89899</v>
      </c>
      <c r="D127" s="19">
        <f>D124+D112</f>
        <v>92345</v>
      </c>
      <c r="E127" s="32">
        <f>E124+E112</f>
        <v>107386</v>
      </c>
      <c r="F127" s="32">
        <f>F124+F112</f>
        <v>372217</v>
      </c>
    </row>
    <row r="128" spans="1:6" x14ac:dyDescent="0.25">
      <c r="A128" s="35" t="s">
        <v>74</v>
      </c>
      <c r="B128" s="24"/>
      <c r="C128" s="24"/>
      <c r="D128" s="24"/>
      <c r="E128" s="24"/>
      <c r="F128" s="24"/>
    </row>
    <row r="129" spans="1:6" ht="13" x14ac:dyDescent="0.3">
      <c r="A129" s="12" t="s">
        <v>75</v>
      </c>
      <c r="B129" s="13" t="str">
        <f>B104</f>
        <v>Q1 FY 23</v>
      </c>
      <c r="C129" s="13" t="str">
        <f>C104</f>
        <v>Q2 FY 23</v>
      </c>
      <c r="D129" s="13" t="str">
        <f>D104</f>
        <v>Q3 FY 23</v>
      </c>
      <c r="E129" s="13" t="str">
        <f>E104</f>
        <v>Q4 FY 23</v>
      </c>
      <c r="F129" s="13" t="str">
        <f>F104</f>
        <v>YTD</v>
      </c>
    </row>
    <row r="130" spans="1:6" x14ac:dyDescent="0.25">
      <c r="A130" s="36" t="s">
        <v>63</v>
      </c>
      <c r="B130" s="37">
        <v>3654</v>
      </c>
      <c r="C130" s="38">
        <v>5249</v>
      </c>
      <c r="D130" s="37">
        <v>2778</v>
      </c>
      <c r="E130" s="37">
        <v>3088</v>
      </c>
      <c r="F130" s="39">
        <f>SUM(B130:E130)</f>
        <v>14769</v>
      </c>
    </row>
    <row r="131" spans="1:6" x14ac:dyDescent="0.25">
      <c r="A131" s="36" t="s">
        <v>64</v>
      </c>
      <c r="B131" s="37">
        <v>3449</v>
      </c>
      <c r="C131" s="38">
        <v>4727</v>
      </c>
      <c r="D131" s="37">
        <v>3731</v>
      </c>
      <c r="E131" s="37">
        <v>3898</v>
      </c>
      <c r="F131" s="39">
        <f>SUM(B131:E131)</f>
        <v>15805</v>
      </c>
    </row>
    <row r="132" spans="1:6" x14ac:dyDescent="0.25">
      <c r="A132" s="36" t="s">
        <v>76</v>
      </c>
      <c r="B132" s="37">
        <v>1793</v>
      </c>
      <c r="C132" s="38">
        <v>2510</v>
      </c>
      <c r="D132" s="37">
        <v>2993</v>
      </c>
      <c r="E132" s="37">
        <v>2396</v>
      </c>
      <c r="F132" s="39">
        <f>SUM(B132:E132)</f>
        <v>9692</v>
      </c>
    </row>
    <row r="133" spans="1:6" x14ac:dyDescent="0.25">
      <c r="A133" s="36" t="s">
        <v>77</v>
      </c>
      <c r="B133" s="37">
        <v>1876</v>
      </c>
      <c r="C133" s="38">
        <v>2106</v>
      </c>
      <c r="D133" s="37">
        <v>3252</v>
      </c>
      <c r="E133" s="37">
        <v>3355</v>
      </c>
      <c r="F133" s="39">
        <f>SUM(B133:E133)</f>
        <v>10589</v>
      </c>
    </row>
    <row r="134" spans="1:6" x14ac:dyDescent="0.25">
      <c r="A134" s="36" t="s">
        <v>78</v>
      </c>
      <c r="B134" s="37">
        <v>0</v>
      </c>
      <c r="C134" s="37">
        <v>0</v>
      </c>
      <c r="D134" s="37">
        <v>0</v>
      </c>
      <c r="E134" s="37">
        <v>0</v>
      </c>
      <c r="F134" s="39">
        <f>SUM(B134:E134)</f>
        <v>0</v>
      </c>
    </row>
    <row r="135" spans="1:6" x14ac:dyDescent="0.25">
      <c r="B135" s="31"/>
      <c r="C135" s="40"/>
      <c r="D135" s="31"/>
      <c r="E135" s="31"/>
      <c r="F135" s="31"/>
    </row>
    <row r="136" spans="1:6" x14ac:dyDescent="0.25">
      <c r="A136" s="27"/>
      <c r="B136" s="27"/>
      <c r="C136" s="28"/>
      <c r="D136" s="28"/>
      <c r="E136" s="28"/>
      <c r="F136" s="28"/>
    </row>
    <row r="138" spans="1:6" x14ac:dyDescent="0.25">
      <c r="A138" s="9" t="s">
        <v>13</v>
      </c>
    </row>
    <row r="139" spans="1:6" x14ac:dyDescent="0.25">
      <c r="A139" s="10"/>
    </row>
    <row r="140" spans="1:6" ht="13" x14ac:dyDescent="0.3">
      <c r="A140" s="11" t="s">
        <v>79</v>
      </c>
    </row>
    <row r="141" spans="1:6" ht="13" x14ac:dyDescent="0.3">
      <c r="A141" s="29"/>
    </row>
    <row r="142" spans="1:6" ht="13" x14ac:dyDescent="0.3">
      <c r="A142" s="12" t="s">
        <v>33</v>
      </c>
      <c r="B142" s="30" t="s">
        <v>80</v>
      </c>
      <c r="C142" s="30" t="s">
        <v>81</v>
      </c>
      <c r="D142" s="30" t="s">
        <v>82</v>
      </c>
      <c r="E142" s="30" t="s">
        <v>83</v>
      </c>
      <c r="F142" s="30" t="s">
        <v>20</v>
      </c>
    </row>
    <row r="143" spans="1:6" x14ac:dyDescent="0.25">
      <c r="A143" s="15" t="s">
        <v>34</v>
      </c>
      <c r="B143" s="17">
        <v>4317</v>
      </c>
      <c r="C143" s="22">
        <v>2476</v>
      </c>
      <c r="D143" s="22">
        <v>2098</v>
      </c>
      <c r="E143" s="22">
        <f>416+3263</f>
        <v>3679</v>
      </c>
      <c r="F143" s="22">
        <f t="shared" ref="F143:F150" si="6">B143+C143+D143+E143</f>
        <v>12570</v>
      </c>
    </row>
    <row r="144" spans="1:6" x14ac:dyDescent="0.25">
      <c r="A144" s="15" t="s">
        <v>35</v>
      </c>
      <c r="B144" s="17">
        <v>2079</v>
      </c>
      <c r="C144" s="22">
        <v>2597</v>
      </c>
      <c r="D144" s="22">
        <v>2219</v>
      </c>
      <c r="E144" s="22">
        <f>976+2990</f>
        <v>3966</v>
      </c>
      <c r="F144" s="22">
        <f t="shared" si="6"/>
        <v>10861</v>
      </c>
    </row>
    <row r="145" spans="1:6" x14ac:dyDescent="0.25">
      <c r="A145" s="15" t="s">
        <v>57</v>
      </c>
      <c r="B145" s="17">
        <v>7</v>
      </c>
      <c r="C145" s="22">
        <v>16</v>
      </c>
      <c r="D145" s="22">
        <v>6</v>
      </c>
      <c r="E145" s="22">
        <v>3</v>
      </c>
      <c r="F145" s="22">
        <f t="shared" si="6"/>
        <v>32</v>
      </c>
    </row>
    <row r="146" spans="1:6" x14ac:dyDescent="0.25">
      <c r="A146" s="15" t="s">
        <v>71</v>
      </c>
      <c r="B146" s="17">
        <v>4486</v>
      </c>
      <c r="C146" s="22">
        <v>2250</v>
      </c>
      <c r="D146" s="22">
        <v>2614</v>
      </c>
      <c r="E146" s="22">
        <v>2540</v>
      </c>
      <c r="F146" s="22">
        <f t="shared" si="6"/>
        <v>11890</v>
      </c>
    </row>
    <row r="147" spans="1:6" x14ac:dyDescent="0.25">
      <c r="A147" s="15" t="s">
        <v>59</v>
      </c>
      <c r="B147" s="17">
        <v>7410</v>
      </c>
      <c r="C147" s="22">
        <v>3973</v>
      </c>
      <c r="D147" s="22">
        <v>3102</v>
      </c>
      <c r="E147" s="22">
        <v>5873</v>
      </c>
      <c r="F147" s="22">
        <f t="shared" si="6"/>
        <v>20358</v>
      </c>
    </row>
    <row r="148" spans="1:6" x14ac:dyDescent="0.25">
      <c r="A148" s="15" t="s">
        <v>40</v>
      </c>
      <c r="B148" s="17">
        <v>2065</v>
      </c>
      <c r="C148" s="22">
        <v>1924</v>
      </c>
      <c r="D148" s="22">
        <v>2588</v>
      </c>
      <c r="E148" s="22">
        <v>2231</v>
      </c>
      <c r="F148" s="22">
        <f t="shared" si="6"/>
        <v>8808</v>
      </c>
    </row>
    <row r="149" spans="1:6" x14ac:dyDescent="0.25">
      <c r="A149" s="15" t="s">
        <v>84</v>
      </c>
      <c r="B149" s="17">
        <v>0</v>
      </c>
      <c r="C149" s="22">
        <v>0</v>
      </c>
      <c r="D149" s="22">
        <v>0</v>
      </c>
      <c r="E149" s="22">
        <v>0</v>
      </c>
      <c r="F149" s="22">
        <f t="shared" si="6"/>
        <v>0</v>
      </c>
    </row>
    <row r="150" spans="1:6" x14ac:dyDescent="0.25">
      <c r="A150" s="15" t="s">
        <v>60</v>
      </c>
      <c r="B150" s="33">
        <v>1009</v>
      </c>
      <c r="C150" s="22">
        <v>708</v>
      </c>
      <c r="D150" s="34">
        <v>891</v>
      </c>
      <c r="E150" s="22">
        <v>1276</v>
      </c>
      <c r="F150" s="22">
        <f t="shared" si="6"/>
        <v>3884</v>
      </c>
    </row>
    <row r="151" spans="1:6" x14ac:dyDescent="0.25">
      <c r="A151" s="15" t="s">
        <v>85</v>
      </c>
      <c r="B151" s="33">
        <v>0</v>
      </c>
      <c r="C151" s="22">
        <v>0</v>
      </c>
      <c r="D151" s="34">
        <v>0</v>
      </c>
      <c r="E151" s="22">
        <v>2</v>
      </c>
      <c r="F151" s="22">
        <f>B151+C151+D151+E151</f>
        <v>2</v>
      </c>
    </row>
    <row r="152" spans="1:6" x14ac:dyDescent="0.25">
      <c r="A152" s="18" t="s">
        <v>41</v>
      </c>
      <c r="B152" s="19">
        <f>SUM(B143:B151)</f>
        <v>21373</v>
      </c>
      <c r="C152" s="19">
        <f>SUM(C143:C151)</f>
        <v>13944</v>
      </c>
      <c r="D152" s="19">
        <f>SUM(D143:D151)</f>
        <v>13518</v>
      </c>
      <c r="E152" s="19">
        <f>SUM(E143:E151)</f>
        <v>19570</v>
      </c>
      <c r="F152" s="19">
        <f>SUM(F143:F151)</f>
        <v>68405</v>
      </c>
    </row>
    <row r="155" spans="1:6" ht="13" x14ac:dyDescent="0.3">
      <c r="A155" s="12" t="s">
        <v>72</v>
      </c>
      <c r="B155" s="13" t="str">
        <f>B142</f>
        <v>Q1 FY 22</v>
      </c>
      <c r="C155" s="13" t="str">
        <f>C142</f>
        <v>Q2 FY 22</v>
      </c>
      <c r="D155" s="13" t="str">
        <f>D142</f>
        <v>Q3 FY 22</v>
      </c>
      <c r="E155" s="13" t="str">
        <f>E142</f>
        <v>Q4 FY 22</v>
      </c>
      <c r="F155" s="13" t="str">
        <f>F142</f>
        <v>YTD</v>
      </c>
    </row>
    <row r="156" spans="1:6" x14ac:dyDescent="0.25">
      <c r="A156" s="15" t="s">
        <v>27</v>
      </c>
      <c r="B156" s="17">
        <v>15369</v>
      </c>
      <c r="C156" s="22">
        <v>14307</v>
      </c>
      <c r="D156" s="22">
        <v>12878</v>
      </c>
      <c r="E156" s="22">
        <v>15872</v>
      </c>
      <c r="F156" s="22">
        <f>B156+C156+D156+E156</f>
        <v>58426</v>
      </c>
    </row>
    <row r="157" spans="1:6" x14ac:dyDescent="0.25">
      <c r="A157" s="15" t="s">
        <v>62</v>
      </c>
      <c r="B157" s="17">
        <v>0</v>
      </c>
      <c r="C157" s="22">
        <v>0</v>
      </c>
      <c r="D157" s="22">
        <v>0</v>
      </c>
      <c r="E157" s="22">
        <v>0</v>
      </c>
      <c r="F157" s="22">
        <f t="shared" ref="F157:F164" si="7">B157+C157+D157+E157</f>
        <v>0</v>
      </c>
    </row>
    <row r="158" spans="1:6" x14ac:dyDescent="0.25">
      <c r="A158" s="15" t="s">
        <v>31</v>
      </c>
      <c r="B158" s="17">
        <v>10326</v>
      </c>
      <c r="C158" s="22">
        <v>11915</v>
      </c>
      <c r="D158" s="22">
        <v>11513</v>
      </c>
      <c r="E158" s="22">
        <f>6439+3093</f>
        <v>9532</v>
      </c>
      <c r="F158" s="22">
        <f t="shared" si="7"/>
        <v>43286</v>
      </c>
    </row>
    <row r="159" spans="1:6" x14ac:dyDescent="0.25">
      <c r="A159" s="15" t="s">
        <v>30</v>
      </c>
      <c r="B159" s="17">
        <v>6131</v>
      </c>
      <c r="C159" s="22">
        <v>4060</v>
      </c>
      <c r="D159" s="22">
        <v>2367</v>
      </c>
      <c r="E159" s="22">
        <f>3063</f>
        <v>3063</v>
      </c>
      <c r="F159" s="22">
        <f t="shared" si="7"/>
        <v>15621</v>
      </c>
    </row>
    <row r="160" spans="1:6" x14ac:dyDescent="0.25">
      <c r="A160" s="15" t="s">
        <v>22</v>
      </c>
      <c r="B160" s="17">
        <v>13257</v>
      </c>
      <c r="C160" s="22">
        <v>7371</v>
      </c>
      <c r="D160" s="22">
        <v>12079</v>
      </c>
      <c r="E160" s="22">
        <v>13772</v>
      </c>
      <c r="F160" s="22">
        <f t="shared" si="7"/>
        <v>46479</v>
      </c>
    </row>
    <row r="161" spans="1:6" x14ac:dyDescent="0.25">
      <c r="A161" s="15" t="s">
        <v>21</v>
      </c>
      <c r="B161" s="17">
        <v>9402</v>
      </c>
      <c r="C161" s="22">
        <v>6482</v>
      </c>
      <c r="D161" s="22">
        <v>12424</v>
      </c>
      <c r="E161" s="22">
        <v>5212</v>
      </c>
      <c r="F161" s="22">
        <f t="shared" si="7"/>
        <v>33520</v>
      </c>
    </row>
    <row r="162" spans="1:6" x14ac:dyDescent="0.25">
      <c r="A162" s="15" t="s">
        <v>23</v>
      </c>
      <c r="B162" s="17">
        <v>10380</v>
      </c>
      <c r="C162" s="22">
        <v>6088</v>
      </c>
      <c r="D162" s="22">
        <v>5491</v>
      </c>
      <c r="E162" s="22">
        <v>7888</v>
      </c>
      <c r="F162" s="22">
        <f t="shared" si="7"/>
        <v>29847</v>
      </c>
    </row>
    <row r="163" spans="1:6" x14ac:dyDescent="0.25">
      <c r="A163" s="15" t="s">
        <v>24</v>
      </c>
      <c r="B163" s="34">
        <v>10903</v>
      </c>
      <c r="C163" s="22">
        <v>14084</v>
      </c>
      <c r="D163" s="34">
        <v>12840</v>
      </c>
      <c r="E163" s="22">
        <f>10947+3276</f>
        <v>14223</v>
      </c>
      <c r="F163" s="22">
        <f t="shared" si="7"/>
        <v>52050</v>
      </c>
    </row>
    <row r="164" spans="1:6" x14ac:dyDescent="0.25">
      <c r="A164" s="15" t="s">
        <v>85</v>
      </c>
      <c r="B164" s="34">
        <v>0</v>
      </c>
      <c r="C164" s="22">
        <v>0</v>
      </c>
      <c r="D164" s="34">
        <v>0</v>
      </c>
      <c r="E164" s="22">
        <v>16</v>
      </c>
      <c r="F164" s="22">
        <f t="shared" si="7"/>
        <v>16</v>
      </c>
    </row>
    <row r="165" spans="1:6" x14ac:dyDescent="0.25">
      <c r="A165" s="18" t="s">
        <v>65</v>
      </c>
      <c r="B165" s="19">
        <f>SUM(B156:B164)</f>
        <v>75768</v>
      </c>
      <c r="C165" s="19">
        <f>SUM(C156:C164)</f>
        <v>64307</v>
      </c>
      <c r="D165" s="19">
        <f>SUM(D156:D164)</f>
        <v>69592</v>
      </c>
      <c r="E165" s="19">
        <f>SUM(E156:E164)</f>
        <v>69578</v>
      </c>
      <c r="F165" s="19">
        <f>SUM(F156:F164)</f>
        <v>279245</v>
      </c>
    </row>
    <row r="167" spans="1:6" ht="13" x14ac:dyDescent="0.3">
      <c r="B167" s="13" t="str">
        <f>B155</f>
        <v>Q1 FY 22</v>
      </c>
      <c r="C167" s="13" t="str">
        <f>C155</f>
        <v>Q2 FY 22</v>
      </c>
      <c r="D167" s="13" t="str">
        <f>D155</f>
        <v>Q3 FY 22</v>
      </c>
      <c r="E167" s="13" t="str">
        <f>E155</f>
        <v>Q4 FY 22</v>
      </c>
      <c r="F167" s="13" t="str">
        <f>F155</f>
        <v>YTD</v>
      </c>
    </row>
    <row r="168" spans="1:6" x14ac:dyDescent="0.25">
      <c r="A168" s="12" t="s">
        <v>73</v>
      </c>
      <c r="B168" s="19">
        <f>B165+B152</f>
        <v>97141</v>
      </c>
      <c r="C168" s="19">
        <f>C165+C152</f>
        <v>78251</v>
      </c>
      <c r="D168" s="19">
        <f>D165+D152</f>
        <v>83110</v>
      </c>
      <c r="E168" s="19">
        <f>E165+E152</f>
        <v>89148</v>
      </c>
      <c r="F168" s="19">
        <f>F165+F152</f>
        <v>347650</v>
      </c>
    </row>
    <row r="169" spans="1:6" x14ac:dyDescent="0.25">
      <c r="A169" s="35" t="s">
        <v>74</v>
      </c>
      <c r="B169" s="24"/>
      <c r="C169" s="24"/>
      <c r="D169" s="24"/>
      <c r="E169" s="24"/>
      <c r="F169" s="24"/>
    </row>
    <row r="170" spans="1:6" ht="13" x14ac:dyDescent="0.3">
      <c r="A170" s="12" t="s">
        <v>75</v>
      </c>
      <c r="B170" s="13" t="str">
        <f>B142</f>
        <v>Q1 FY 22</v>
      </c>
      <c r="C170" s="13" t="str">
        <f>C142</f>
        <v>Q2 FY 22</v>
      </c>
      <c r="D170" s="13" t="str">
        <f>D142</f>
        <v>Q3 FY 22</v>
      </c>
      <c r="E170" s="13" t="str">
        <f>E142</f>
        <v>Q4 FY 22</v>
      </c>
      <c r="F170" s="13" t="str">
        <f>F142</f>
        <v>YTD</v>
      </c>
    </row>
    <row r="171" spans="1:6" x14ac:dyDescent="0.25">
      <c r="A171" s="36" t="s">
        <v>63</v>
      </c>
      <c r="B171" s="37">
        <v>5232</v>
      </c>
      <c r="C171" s="38">
        <v>5658</v>
      </c>
      <c r="D171" s="37">
        <v>6200</v>
      </c>
      <c r="E171" s="37">
        <v>3093</v>
      </c>
      <c r="F171" s="39">
        <f>SUM(B171:E171)</f>
        <v>20183</v>
      </c>
    </row>
    <row r="172" spans="1:6" x14ac:dyDescent="0.25">
      <c r="A172" s="36" t="s">
        <v>64</v>
      </c>
      <c r="B172" s="37">
        <v>2605</v>
      </c>
      <c r="C172" s="38">
        <v>4251</v>
      </c>
      <c r="D172" s="37">
        <v>4258</v>
      </c>
      <c r="E172" s="37">
        <v>3276</v>
      </c>
      <c r="F172" s="39">
        <f>SUM(B172:E172)</f>
        <v>14390</v>
      </c>
    </row>
    <row r="173" spans="1:6" x14ac:dyDescent="0.25">
      <c r="A173" s="36" t="s">
        <v>76</v>
      </c>
      <c r="B173" s="37">
        <v>1309</v>
      </c>
      <c r="C173" s="38">
        <v>2195</v>
      </c>
      <c r="D173" s="37">
        <v>1762</v>
      </c>
      <c r="E173" s="37">
        <v>2990</v>
      </c>
      <c r="F173" s="39">
        <f>SUM(B173:E173)</f>
        <v>8256</v>
      </c>
    </row>
    <row r="174" spans="1:6" x14ac:dyDescent="0.25">
      <c r="A174" s="36" t="s">
        <v>77</v>
      </c>
      <c r="B174" s="37">
        <v>3553</v>
      </c>
      <c r="C174" s="38">
        <v>2115</v>
      </c>
      <c r="D174" s="37">
        <v>1708</v>
      </c>
      <c r="E174" s="37">
        <v>3263</v>
      </c>
      <c r="F174" s="39">
        <f>SUM(B174:E174)</f>
        <v>10639</v>
      </c>
    </row>
    <row r="175" spans="1:6" x14ac:dyDescent="0.25">
      <c r="A175" s="36" t="s">
        <v>78</v>
      </c>
      <c r="B175" s="37">
        <v>0</v>
      </c>
      <c r="C175" s="37">
        <v>0</v>
      </c>
      <c r="D175" s="37">
        <v>0</v>
      </c>
      <c r="E175" s="37">
        <v>0</v>
      </c>
      <c r="F175" s="39">
        <f>SUM(B175:E175)</f>
        <v>0</v>
      </c>
    </row>
    <row r="176" spans="1:6" x14ac:dyDescent="0.25">
      <c r="C176" s="40"/>
      <c r="D176" s="31"/>
      <c r="E176" s="31"/>
      <c r="F176" s="31"/>
    </row>
    <row r="177" spans="1:6" x14ac:dyDescent="0.25">
      <c r="A177" s="27"/>
      <c r="B177" s="27"/>
      <c r="C177" s="28"/>
      <c r="D177" s="28"/>
      <c r="E177" s="28"/>
      <c r="F177" s="28"/>
    </row>
    <row r="178" spans="1:6" x14ac:dyDescent="0.25">
      <c r="A178" s="10"/>
    </row>
    <row r="179" spans="1:6" ht="13" x14ac:dyDescent="0.3">
      <c r="A179" s="11" t="s">
        <v>86</v>
      </c>
      <c r="B179" s="41"/>
      <c r="C179" s="41"/>
      <c r="D179" s="41"/>
      <c r="E179" s="41"/>
      <c r="F179" s="41"/>
    </row>
    <row r="180" spans="1:6" ht="13" x14ac:dyDescent="0.3">
      <c r="A180" s="29"/>
      <c r="B180" s="41"/>
      <c r="C180" s="41"/>
      <c r="D180" s="41"/>
      <c r="E180" s="41"/>
      <c r="F180" s="41"/>
    </row>
    <row r="181" spans="1:6" ht="13" x14ac:dyDescent="0.3">
      <c r="A181" s="12" t="s">
        <v>33</v>
      </c>
      <c r="B181" s="30" t="s">
        <v>87</v>
      </c>
      <c r="C181" s="30" t="s">
        <v>88</v>
      </c>
      <c r="D181" s="30" t="s">
        <v>89</v>
      </c>
      <c r="E181" s="30" t="s">
        <v>90</v>
      </c>
      <c r="F181" s="30" t="s">
        <v>20</v>
      </c>
    </row>
    <row r="182" spans="1:6" x14ac:dyDescent="0.25">
      <c r="A182" s="15" t="s">
        <v>34</v>
      </c>
      <c r="B182" s="17">
        <f>781+B211</f>
        <v>3954</v>
      </c>
      <c r="C182" s="22">
        <v>3780</v>
      </c>
      <c r="D182" s="22">
        <v>4512</v>
      </c>
      <c r="E182" s="22">
        <v>4261</v>
      </c>
      <c r="F182" s="22">
        <f t="shared" ref="F182:F189" si="8">B182+C182+D182+E182</f>
        <v>16507</v>
      </c>
    </row>
    <row r="183" spans="1:6" x14ac:dyDescent="0.25">
      <c r="A183" s="15" t="s">
        <v>35</v>
      </c>
      <c r="B183" s="17">
        <f>568+B210</f>
        <v>2387</v>
      </c>
      <c r="C183" s="22">
        <f>2162+1</f>
        <v>2163</v>
      </c>
      <c r="D183" s="22">
        <v>2053</v>
      </c>
      <c r="E183" s="22">
        <v>2998</v>
      </c>
      <c r="F183" s="22">
        <f t="shared" si="8"/>
        <v>9601</v>
      </c>
    </row>
    <row r="184" spans="1:6" x14ac:dyDescent="0.25">
      <c r="A184" s="15" t="s">
        <v>57</v>
      </c>
      <c r="B184" s="17">
        <v>463</v>
      </c>
      <c r="C184" s="22">
        <v>106</v>
      </c>
      <c r="D184" s="22">
        <v>33</v>
      </c>
      <c r="E184" s="22">
        <v>30</v>
      </c>
      <c r="F184" s="22">
        <f t="shared" si="8"/>
        <v>632</v>
      </c>
    </row>
    <row r="185" spans="1:6" x14ac:dyDescent="0.25">
      <c r="A185" s="15" t="s">
        <v>71</v>
      </c>
      <c r="B185" s="17">
        <f>3495+B212</f>
        <v>4296</v>
      </c>
      <c r="C185" s="22">
        <v>4279</v>
      </c>
      <c r="D185" s="22">
        <v>3358</v>
      </c>
      <c r="E185" s="22">
        <v>7684</v>
      </c>
      <c r="F185" s="22">
        <f t="shared" si="8"/>
        <v>19617</v>
      </c>
    </row>
    <row r="186" spans="1:6" x14ac:dyDescent="0.25">
      <c r="A186" s="15" t="s">
        <v>59</v>
      </c>
      <c r="B186" s="17">
        <v>3642</v>
      </c>
      <c r="C186" s="22">
        <v>4569</v>
      </c>
      <c r="D186" s="22">
        <v>4442</v>
      </c>
      <c r="E186" s="22">
        <v>11393</v>
      </c>
      <c r="F186" s="22">
        <f t="shared" si="8"/>
        <v>24046</v>
      </c>
    </row>
    <row r="187" spans="1:6" x14ac:dyDescent="0.25">
      <c r="A187" s="15" t="s">
        <v>40</v>
      </c>
      <c r="B187" s="17">
        <v>2231</v>
      </c>
      <c r="C187" s="22">
        <v>2389</v>
      </c>
      <c r="D187" s="22">
        <v>6334</v>
      </c>
      <c r="E187" s="22">
        <v>3308</v>
      </c>
      <c r="F187" s="22">
        <f t="shared" si="8"/>
        <v>14262</v>
      </c>
    </row>
    <row r="188" spans="1:6" x14ac:dyDescent="0.25">
      <c r="A188" s="15" t="s">
        <v>84</v>
      </c>
      <c r="B188" s="17">
        <v>0</v>
      </c>
      <c r="C188" s="22">
        <v>0</v>
      </c>
      <c r="D188" s="22">
        <v>0</v>
      </c>
      <c r="E188" s="22">
        <v>0</v>
      </c>
      <c r="F188" s="22">
        <f t="shared" si="8"/>
        <v>0</v>
      </c>
    </row>
    <row r="189" spans="1:6" x14ac:dyDescent="0.25">
      <c r="A189" s="15" t="s">
        <v>60</v>
      </c>
      <c r="B189" s="33">
        <v>998</v>
      </c>
      <c r="C189" s="22">
        <v>903</v>
      </c>
      <c r="D189" s="34">
        <v>1734</v>
      </c>
      <c r="E189" s="22">
        <v>2140</v>
      </c>
      <c r="F189" s="22">
        <f t="shared" si="8"/>
        <v>5775</v>
      </c>
    </row>
    <row r="190" spans="1:6" x14ac:dyDescent="0.25">
      <c r="A190" s="18" t="s">
        <v>41</v>
      </c>
      <c r="B190" s="19">
        <f>SUM(B182:B189)</f>
        <v>17971</v>
      </c>
      <c r="C190" s="19">
        <f>SUM(C182:C189)</f>
        <v>18189</v>
      </c>
      <c r="D190" s="19">
        <f>SUM(D182:D189)</f>
        <v>22466</v>
      </c>
      <c r="E190" s="19">
        <f>SUM(E182:E189)</f>
        <v>31814</v>
      </c>
      <c r="F190" s="19">
        <f>SUM(F182:F189)</f>
        <v>90440</v>
      </c>
    </row>
    <row r="193" spans="1:6" ht="13" x14ac:dyDescent="0.3">
      <c r="A193" s="12" t="s">
        <v>72</v>
      </c>
      <c r="B193" s="13" t="str">
        <f>B181</f>
        <v>Q1 FY 21</v>
      </c>
      <c r="C193" s="13" t="str">
        <f>C181</f>
        <v>Q2 FY 21</v>
      </c>
      <c r="D193" s="13" t="str">
        <f>D181</f>
        <v>Q3 FY 21</v>
      </c>
      <c r="E193" s="13" t="str">
        <f>E181</f>
        <v>Q4 FY 21</v>
      </c>
      <c r="F193" s="13" t="str">
        <f>F181</f>
        <v>YTD</v>
      </c>
    </row>
    <row r="194" spans="1:6" x14ac:dyDescent="0.25">
      <c r="A194" s="15" t="s">
        <v>27</v>
      </c>
      <c r="B194" s="17">
        <v>7900</v>
      </c>
      <c r="C194" s="22">
        <f>12122+3</f>
        <v>12125</v>
      </c>
      <c r="D194" s="22">
        <v>16043</v>
      </c>
      <c r="E194" s="22">
        <v>16983</v>
      </c>
      <c r="F194" s="22">
        <f>B194+C194+D194+E194</f>
        <v>53051</v>
      </c>
    </row>
    <row r="195" spans="1:6" x14ac:dyDescent="0.25">
      <c r="A195" s="15" t="s">
        <v>62</v>
      </c>
      <c r="B195" s="17">
        <v>0</v>
      </c>
      <c r="C195" s="22">
        <v>0</v>
      </c>
      <c r="D195" s="22">
        <v>2</v>
      </c>
      <c r="E195" s="22">
        <v>0</v>
      </c>
      <c r="F195" s="22">
        <f t="shared" ref="F195:F201" si="9">B195+C195+D195+E195</f>
        <v>2</v>
      </c>
    </row>
    <row r="196" spans="1:6" x14ac:dyDescent="0.25">
      <c r="A196" s="15" t="s">
        <v>31</v>
      </c>
      <c r="B196" s="17">
        <f>3840+B208</f>
        <v>11460</v>
      </c>
      <c r="C196" s="22">
        <v>14506</v>
      </c>
      <c r="D196" s="22">
        <v>17338</v>
      </c>
      <c r="E196" s="22">
        <v>16729</v>
      </c>
      <c r="F196" s="22">
        <f t="shared" si="9"/>
        <v>60033</v>
      </c>
    </row>
    <row r="197" spans="1:6" x14ac:dyDescent="0.25">
      <c r="A197" s="15" t="s">
        <v>30</v>
      </c>
      <c r="B197" s="17">
        <v>3605</v>
      </c>
      <c r="C197" s="22">
        <f>3801+3</f>
        <v>3804</v>
      </c>
      <c r="D197" s="22">
        <v>4023</v>
      </c>
      <c r="E197" s="22">
        <v>5245</v>
      </c>
      <c r="F197" s="22">
        <f t="shared" si="9"/>
        <v>16677</v>
      </c>
    </row>
    <row r="198" spans="1:6" x14ac:dyDescent="0.25">
      <c r="A198" s="15" t="s">
        <v>22</v>
      </c>
      <c r="B198" s="17">
        <v>7176</v>
      </c>
      <c r="C198" s="22">
        <v>12257</v>
      </c>
      <c r="D198" s="22">
        <v>19448</v>
      </c>
      <c r="E198" s="22">
        <v>18813</v>
      </c>
      <c r="F198" s="22">
        <f t="shared" si="9"/>
        <v>57694</v>
      </c>
    </row>
    <row r="199" spans="1:6" x14ac:dyDescent="0.25">
      <c r="A199" s="15" t="s">
        <v>21</v>
      </c>
      <c r="B199" s="17">
        <v>4797</v>
      </c>
      <c r="C199" s="22">
        <v>6988</v>
      </c>
      <c r="D199" s="22">
        <v>12972</v>
      </c>
      <c r="E199" s="22">
        <v>12653</v>
      </c>
      <c r="F199" s="22">
        <f t="shared" si="9"/>
        <v>37410</v>
      </c>
    </row>
    <row r="200" spans="1:6" x14ac:dyDescent="0.25">
      <c r="A200" s="15" t="s">
        <v>23</v>
      </c>
      <c r="B200" s="17">
        <v>4777</v>
      </c>
      <c r="C200" s="22">
        <v>7971</v>
      </c>
      <c r="D200" s="22">
        <v>9153</v>
      </c>
      <c r="E200" s="22">
        <v>11931</v>
      </c>
      <c r="F200" s="22">
        <f t="shared" si="9"/>
        <v>33832</v>
      </c>
    </row>
    <row r="201" spans="1:6" x14ac:dyDescent="0.25">
      <c r="A201" s="15" t="s">
        <v>24</v>
      </c>
      <c r="B201" s="34">
        <f>4639+B209</f>
        <v>7739</v>
      </c>
      <c r="C201" s="22">
        <v>15527</v>
      </c>
      <c r="D201" s="34">
        <v>18213</v>
      </c>
      <c r="E201" s="22">
        <v>22293</v>
      </c>
      <c r="F201" s="22">
        <f t="shared" si="9"/>
        <v>63772</v>
      </c>
    </row>
    <row r="202" spans="1:6" x14ac:dyDescent="0.25">
      <c r="A202" s="18" t="s">
        <v>65</v>
      </c>
      <c r="B202" s="19">
        <f>SUM(B194:B201)</f>
        <v>47454</v>
      </c>
      <c r="C202" s="19">
        <f>SUM(C194:C201)</f>
        <v>73178</v>
      </c>
      <c r="D202" s="19">
        <f>SUM(D194:D201)</f>
        <v>97192</v>
      </c>
      <c r="E202" s="19">
        <f>SUM(E194:E201)</f>
        <v>104647</v>
      </c>
      <c r="F202" s="19">
        <f>SUM(F194:F201)</f>
        <v>322471</v>
      </c>
    </row>
    <row r="204" spans="1:6" s="14" customFormat="1" ht="13" x14ac:dyDescent="0.3">
      <c r="A204" s="21"/>
      <c r="B204" s="13" t="str">
        <f>B193</f>
        <v>Q1 FY 21</v>
      </c>
      <c r="C204" s="13" t="str">
        <f>C193</f>
        <v>Q2 FY 21</v>
      </c>
      <c r="D204" s="13" t="str">
        <f>D193</f>
        <v>Q3 FY 21</v>
      </c>
      <c r="E204" s="13" t="str">
        <f>E193</f>
        <v>Q4 FY 21</v>
      </c>
      <c r="F204" s="13" t="str">
        <f>F193</f>
        <v>YTD</v>
      </c>
    </row>
    <row r="205" spans="1:6" s="14" customFormat="1" x14ac:dyDescent="0.25">
      <c r="A205" s="12" t="s">
        <v>73</v>
      </c>
      <c r="B205" s="19">
        <f>B202+B190</f>
        <v>65425</v>
      </c>
      <c r="C205" s="19">
        <f>C202+C190</f>
        <v>91367</v>
      </c>
      <c r="D205" s="19">
        <f>D202+D190</f>
        <v>119658</v>
      </c>
      <c r="E205" s="19">
        <f>E202+E190</f>
        <v>136461</v>
      </c>
      <c r="F205" s="19">
        <f>F202+F190</f>
        <v>412911</v>
      </c>
    </row>
    <row r="206" spans="1:6" s="14" customFormat="1" x14ac:dyDescent="0.25">
      <c r="A206" s="35" t="s">
        <v>74</v>
      </c>
      <c r="B206" s="24"/>
      <c r="C206" s="24"/>
      <c r="D206" s="24"/>
      <c r="E206" s="24"/>
      <c r="F206" s="24"/>
    </row>
    <row r="207" spans="1:6" s="14" customFormat="1" ht="13" x14ac:dyDescent="0.3">
      <c r="A207" s="12" t="s">
        <v>75</v>
      </c>
      <c r="B207" s="13" t="str">
        <f>B181</f>
        <v>Q1 FY 21</v>
      </c>
      <c r="C207" s="13" t="str">
        <f>C181</f>
        <v>Q2 FY 21</v>
      </c>
      <c r="D207" s="13" t="str">
        <f>D181</f>
        <v>Q3 FY 21</v>
      </c>
      <c r="E207" s="13" t="str">
        <f>E181</f>
        <v>Q4 FY 21</v>
      </c>
      <c r="F207" s="13" t="str">
        <f>F181</f>
        <v>YTD</v>
      </c>
    </row>
    <row r="208" spans="1:6" s="14" customFormat="1" x14ac:dyDescent="0.25">
      <c r="A208" s="36" t="s">
        <v>63</v>
      </c>
      <c r="B208" s="37">
        <v>7620</v>
      </c>
      <c r="C208" s="38">
        <v>8258</v>
      </c>
      <c r="D208" s="37">
        <v>7663</v>
      </c>
      <c r="E208" s="37">
        <v>5288</v>
      </c>
      <c r="F208" s="39">
        <f>SUM(B208:E208)</f>
        <v>28829</v>
      </c>
    </row>
    <row r="209" spans="1:6" s="14" customFormat="1" x14ac:dyDescent="0.25">
      <c r="A209" s="36" t="s">
        <v>64</v>
      </c>
      <c r="B209" s="37">
        <v>3100</v>
      </c>
      <c r="C209" s="38">
        <v>3664</v>
      </c>
      <c r="D209" s="37">
        <v>3682</v>
      </c>
      <c r="E209" s="37">
        <v>2897</v>
      </c>
      <c r="F209" s="39">
        <f>SUM(B209:E209)</f>
        <v>13343</v>
      </c>
    </row>
    <row r="210" spans="1:6" s="14" customFormat="1" x14ac:dyDescent="0.25">
      <c r="A210" s="36" t="s">
        <v>76</v>
      </c>
      <c r="B210" s="37">
        <v>1819</v>
      </c>
      <c r="C210" s="38">
        <v>1809</v>
      </c>
      <c r="D210" s="37">
        <v>1247</v>
      </c>
      <c r="E210" s="37">
        <v>1771</v>
      </c>
      <c r="F210" s="39">
        <f>SUM(B210:E210)</f>
        <v>6646</v>
      </c>
    </row>
    <row r="211" spans="1:6" s="14" customFormat="1" x14ac:dyDescent="0.25">
      <c r="A211" s="36" t="s">
        <v>77</v>
      </c>
      <c r="B211" s="37">
        <v>3173</v>
      </c>
      <c r="C211" s="38">
        <v>3424</v>
      </c>
      <c r="D211" s="37">
        <v>4051</v>
      </c>
      <c r="E211" s="37">
        <v>3121</v>
      </c>
      <c r="F211" s="39">
        <f>SUM(B211:E211)</f>
        <v>13769</v>
      </c>
    </row>
    <row r="212" spans="1:6" s="14" customFormat="1" x14ac:dyDescent="0.25">
      <c r="A212" s="36" t="s">
        <v>78</v>
      </c>
      <c r="B212" s="37">
        <v>801</v>
      </c>
      <c r="C212" s="38">
        <v>761</v>
      </c>
      <c r="D212" s="37">
        <v>435</v>
      </c>
      <c r="E212" s="37">
        <v>695</v>
      </c>
      <c r="F212" s="39">
        <f>SUM(B212:E212)</f>
        <v>2692</v>
      </c>
    </row>
    <row r="213" spans="1:6" s="14" customFormat="1" x14ac:dyDescent="0.25">
      <c r="A213" s="21"/>
      <c r="B213"/>
      <c r="C213" s="40"/>
      <c r="D213" s="31"/>
      <c r="E213" s="31"/>
      <c r="F213" s="31"/>
    </row>
    <row r="214" spans="1:6" s="14" customFormat="1" ht="7.5" customHeight="1" x14ac:dyDescent="0.25">
      <c r="A214" s="27"/>
      <c r="B214" s="27"/>
      <c r="C214" s="28"/>
      <c r="D214" s="28"/>
      <c r="E214" s="28"/>
      <c r="F214" s="28"/>
    </row>
    <row r="215" spans="1:6" s="14" customFormat="1" x14ac:dyDescent="0.25">
      <c r="A215" s="9" t="s">
        <v>13</v>
      </c>
      <c r="B215" s="25"/>
      <c r="C215" s="26"/>
      <c r="D215" s="26"/>
      <c r="E215" s="26"/>
      <c r="F215" s="26"/>
    </row>
    <row r="216" spans="1:6" s="14" customFormat="1" x14ac:dyDescent="0.25">
      <c r="A216" s="10"/>
      <c r="B216" s="25"/>
      <c r="C216" s="26"/>
      <c r="D216" s="26"/>
      <c r="E216" s="26"/>
      <c r="F216" s="26"/>
    </row>
    <row r="217" spans="1:6" s="14" customFormat="1" ht="13" x14ac:dyDescent="0.3">
      <c r="A217" s="11" t="s">
        <v>91</v>
      </c>
      <c r="B217" s="41"/>
      <c r="C217" s="41"/>
      <c r="D217" s="41"/>
      <c r="E217" s="41"/>
      <c r="F217" s="41"/>
    </row>
    <row r="218" spans="1:6" s="14" customFormat="1" ht="13" x14ac:dyDescent="0.3">
      <c r="A218" s="29"/>
      <c r="B218" s="41"/>
      <c r="C218" s="41"/>
      <c r="D218" s="41"/>
      <c r="E218" s="41"/>
      <c r="F218" s="41"/>
    </row>
    <row r="219" spans="1:6" s="14" customFormat="1" ht="13" x14ac:dyDescent="0.3">
      <c r="A219" s="12" t="s">
        <v>33</v>
      </c>
      <c r="B219" s="30" t="s">
        <v>92</v>
      </c>
      <c r="C219" s="30" t="s">
        <v>93</v>
      </c>
      <c r="D219" s="30" t="s">
        <v>94</v>
      </c>
      <c r="E219" s="30" t="s">
        <v>95</v>
      </c>
      <c r="F219" s="30" t="s">
        <v>20</v>
      </c>
    </row>
    <row r="220" spans="1:6" s="14" customFormat="1" x14ac:dyDescent="0.25">
      <c r="A220" s="15" t="s">
        <v>34</v>
      </c>
      <c r="B220" s="17">
        <v>7895</v>
      </c>
      <c r="C220" s="17">
        <v>4960</v>
      </c>
      <c r="D220" s="17">
        <v>4831</v>
      </c>
      <c r="E220" s="17">
        <v>4853</v>
      </c>
      <c r="F220" s="22">
        <f t="shared" ref="F220:F227" si="10">B220+C220+D220+E220</f>
        <v>22539</v>
      </c>
    </row>
    <row r="221" spans="1:6" s="14" customFormat="1" x14ac:dyDescent="0.25">
      <c r="A221" s="15" t="s">
        <v>35</v>
      </c>
      <c r="B221" s="17">
        <v>3931</v>
      </c>
      <c r="C221" s="17">
        <v>3152</v>
      </c>
      <c r="D221" s="17">
        <v>3333</v>
      </c>
      <c r="E221" s="17">
        <v>2221</v>
      </c>
      <c r="F221" s="22">
        <f t="shared" si="10"/>
        <v>12637</v>
      </c>
    </row>
    <row r="222" spans="1:6" s="14" customFormat="1" x14ac:dyDescent="0.25">
      <c r="A222" s="15" t="s">
        <v>57</v>
      </c>
      <c r="B222" s="17">
        <v>1587</v>
      </c>
      <c r="C222" s="17">
        <v>397</v>
      </c>
      <c r="D222" s="17">
        <v>443</v>
      </c>
      <c r="E222" s="17">
        <v>397</v>
      </c>
      <c r="F222" s="22">
        <f t="shared" si="10"/>
        <v>2824</v>
      </c>
    </row>
    <row r="223" spans="1:6" s="14" customFormat="1" x14ac:dyDescent="0.25">
      <c r="A223" s="15" t="s">
        <v>71</v>
      </c>
      <c r="B223" s="17">
        <v>9316</v>
      </c>
      <c r="C223" s="17">
        <v>10204</v>
      </c>
      <c r="D223" s="17">
        <v>10180</v>
      </c>
      <c r="E223" s="17">
        <v>9499</v>
      </c>
      <c r="F223" s="22">
        <f t="shared" si="10"/>
        <v>39199</v>
      </c>
    </row>
    <row r="224" spans="1:6" s="14" customFormat="1" x14ac:dyDescent="0.25">
      <c r="A224" s="15" t="s">
        <v>59</v>
      </c>
      <c r="B224" s="17">
        <v>9352</v>
      </c>
      <c r="C224" s="17">
        <v>12941</v>
      </c>
      <c r="D224" s="17">
        <v>12228</v>
      </c>
      <c r="E224" s="17">
        <v>11422</v>
      </c>
      <c r="F224" s="22">
        <f t="shared" si="10"/>
        <v>45943</v>
      </c>
    </row>
    <row r="225" spans="1:6" s="14" customFormat="1" x14ac:dyDescent="0.25">
      <c r="A225" s="15" t="s">
        <v>40</v>
      </c>
      <c r="B225" s="17">
        <v>5195</v>
      </c>
      <c r="C225" s="17">
        <v>3390</v>
      </c>
      <c r="D225" s="17">
        <v>3462</v>
      </c>
      <c r="E225" s="17">
        <v>2735</v>
      </c>
      <c r="F225" s="22">
        <f t="shared" si="10"/>
        <v>14782</v>
      </c>
    </row>
    <row r="226" spans="1:6" s="14" customFormat="1" x14ac:dyDescent="0.25">
      <c r="A226" s="15" t="s">
        <v>84</v>
      </c>
      <c r="B226" s="17">
        <v>0</v>
      </c>
      <c r="C226" s="17">
        <v>0</v>
      </c>
      <c r="D226" s="17">
        <v>0</v>
      </c>
      <c r="E226" s="17">
        <v>0</v>
      </c>
      <c r="F226" s="22">
        <f t="shared" si="10"/>
        <v>0</v>
      </c>
    </row>
    <row r="227" spans="1:6" s="14" customFormat="1" x14ac:dyDescent="0.25">
      <c r="A227" s="15" t="s">
        <v>60</v>
      </c>
      <c r="B227" s="33">
        <v>1939</v>
      </c>
      <c r="C227" s="33">
        <v>1161</v>
      </c>
      <c r="D227" s="33">
        <v>1433</v>
      </c>
      <c r="E227" s="17">
        <v>1813</v>
      </c>
      <c r="F227" s="22">
        <f t="shared" si="10"/>
        <v>6346</v>
      </c>
    </row>
    <row r="228" spans="1:6" s="14" customFormat="1" x14ac:dyDescent="0.25">
      <c r="A228" s="18" t="s">
        <v>41</v>
      </c>
      <c r="B228" s="19">
        <f>SUM(B220:B227)</f>
        <v>39215</v>
      </c>
      <c r="C228" s="19">
        <f>SUM(C220:C227)</f>
        <v>36205</v>
      </c>
      <c r="D228" s="19">
        <f>SUM(D220:D227)</f>
        <v>35910</v>
      </c>
      <c r="E228" s="19">
        <f>SUM(E220:E227)</f>
        <v>32940</v>
      </c>
      <c r="F228" s="19">
        <f>SUM(F220:F227)</f>
        <v>144270</v>
      </c>
    </row>
    <row r="229" spans="1:6" s="14" customFormat="1" x14ac:dyDescent="0.25">
      <c r="A229" s="25"/>
      <c r="B229" s="25"/>
      <c r="C229" s="26"/>
      <c r="D229" s="26"/>
      <c r="E229" s="26"/>
      <c r="F229" s="26"/>
    </row>
    <row r="230" spans="1:6" s="14" customFormat="1" x14ac:dyDescent="0.25">
      <c r="A230" s="25"/>
      <c r="B230" s="25"/>
      <c r="C230" s="26"/>
      <c r="D230" s="26"/>
      <c r="E230" s="26"/>
      <c r="F230" s="26"/>
    </row>
    <row r="231" spans="1:6" s="14" customFormat="1" ht="13" x14ac:dyDescent="0.3">
      <c r="A231" s="12" t="s">
        <v>72</v>
      </c>
      <c r="B231" s="13" t="str">
        <f>B219</f>
        <v>Q1 FY 20</v>
      </c>
      <c r="C231" s="13" t="str">
        <f>C219</f>
        <v>Q2 FY 20</v>
      </c>
      <c r="D231" s="13" t="str">
        <f>D219</f>
        <v>Q3 FY 20</v>
      </c>
      <c r="E231" s="13" t="str">
        <f>E219</f>
        <v>Q4 FY 20</v>
      </c>
      <c r="F231" s="13" t="str">
        <f>F219</f>
        <v>YTD</v>
      </c>
    </row>
    <row r="232" spans="1:6" s="14" customFormat="1" x14ac:dyDescent="0.25">
      <c r="A232" s="15" t="s">
        <v>27</v>
      </c>
      <c r="B232" s="17">
        <v>1</v>
      </c>
      <c r="C232" s="17">
        <v>1</v>
      </c>
      <c r="D232" s="17">
        <v>0</v>
      </c>
      <c r="E232" s="17">
        <v>119</v>
      </c>
      <c r="F232" s="17">
        <f>B232+C232+D232+E232</f>
        <v>121</v>
      </c>
    </row>
    <row r="233" spans="1:6" s="14" customFormat="1" x14ac:dyDescent="0.25">
      <c r="A233" s="15" t="s">
        <v>62</v>
      </c>
      <c r="B233" s="17">
        <v>0</v>
      </c>
      <c r="C233" s="17">
        <v>0</v>
      </c>
      <c r="D233" s="17">
        <v>0</v>
      </c>
      <c r="E233" s="17">
        <v>0</v>
      </c>
      <c r="F233" s="17">
        <f t="shared" ref="F233:F239" si="11">B233+C233+D233+E233</f>
        <v>0</v>
      </c>
    </row>
    <row r="234" spans="1:6" s="14" customFormat="1" x14ac:dyDescent="0.25">
      <c r="A234" s="15" t="s">
        <v>31</v>
      </c>
      <c r="B234" s="17">
        <v>16429</v>
      </c>
      <c r="C234" s="17">
        <v>21764</v>
      </c>
      <c r="D234" s="17">
        <v>23087</v>
      </c>
      <c r="E234" s="17">
        <v>15140</v>
      </c>
      <c r="F234" s="17">
        <f t="shared" si="11"/>
        <v>76420</v>
      </c>
    </row>
    <row r="235" spans="1:6" s="14" customFormat="1" x14ac:dyDescent="0.25">
      <c r="A235" s="15" t="s">
        <v>30</v>
      </c>
      <c r="B235" s="17">
        <v>7952</v>
      </c>
      <c r="C235" s="17">
        <v>7244</v>
      </c>
      <c r="D235" s="17">
        <v>10185</v>
      </c>
      <c r="E235" s="17">
        <v>8267</v>
      </c>
      <c r="F235" s="17">
        <f t="shared" si="11"/>
        <v>33648</v>
      </c>
    </row>
    <row r="236" spans="1:6" s="14" customFormat="1" x14ac:dyDescent="0.25">
      <c r="A236" s="15" t="s">
        <v>22</v>
      </c>
      <c r="B236" s="17">
        <v>16028</v>
      </c>
      <c r="C236" s="17">
        <v>19312</v>
      </c>
      <c r="D236" s="17">
        <v>20565</v>
      </c>
      <c r="E236" s="17">
        <v>20434</v>
      </c>
      <c r="F236" s="17">
        <f t="shared" si="11"/>
        <v>76339</v>
      </c>
    </row>
    <row r="237" spans="1:6" s="14" customFormat="1" x14ac:dyDescent="0.25">
      <c r="A237" s="15" t="s">
        <v>21</v>
      </c>
      <c r="B237" s="17">
        <v>10020</v>
      </c>
      <c r="C237" s="17">
        <v>13754</v>
      </c>
      <c r="D237" s="17">
        <v>14657</v>
      </c>
      <c r="E237" s="17">
        <v>12534</v>
      </c>
      <c r="F237" s="17">
        <f t="shared" si="11"/>
        <v>50965</v>
      </c>
    </row>
    <row r="238" spans="1:6" s="14" customFormat="1" x14ac:dyDescent="0.25">
      <c r="A238" s="15" t="s">
        <v>23</v>
      </c>
      <c r="B238" s="17">
        <v>10996</v>
      </c>
      <c r="C238" s="17">
        <v>14196</v>
      </c>
      <c r="D238" s="17">
        <v>14737</v>
      </c>
      <c r="E238" s="17">
        <v>13043</v>
      </c>
      <c r="F238" s="17">
        <f t="shared" si="11"/>
        <v>52972</v>
      </c>
    </row>
    <row r="239" spans="1:6" s="14" customFormat="1" x14ac:dyDescent="0.25">
      <c r="A239" s="15" t="s">
        <v>24</v>
      </c>
      <c r="B239" s="34">
        <v>17909</v>
      </c>
      <c r="C239" s="34">
        <v>22013</v>
      </c>
      <c r="D239" s="34">
        <v>26243</v>
      </c>
      <c r="E239" s="17">
        <v>24502</v>
      </c>
      <c r="F239" s="17">
        <f t="shared" si="11"/>
        <v>90667</v>
      </c>
    </row>
    <row r="240" spans="1:6" s="14" customFormat="1" x14ac:dyDescent="0.25">
      <c r="A240" s="18" t="s">
        <v>65</v>
      </c>
      <c r="B240" s="19">
        <f>SUM(B232:B239)</f>
        <v>79335</v>
      </c>
      <c r="C240" s="19">
        <f>SUM(C232:C239)</f>
        <v>98284</v>
      </c>
      <c r="D240" s="19">
        <f>SUM(D232:D239)</f>
        <v>109474</v>
      </c>
      <c r="E240" s="19">
        <f>SUM(E232:E239)</f>
        <v>94039</v>
      </c>
      <c r="F240" s="19">
        <f>SUM(F232:F239)</f>
        <v>381132</v>
      </c>
    </row>
    <row r="241" spans="1:6" s="14" customFormat="1" x14ac:dyDescent="0.25">
      <c r="A241" s="21"/>
      <c r="B241"/>
      <c r="C241"/>
      <c r="D241"/>
      <c r="E241"/>
      <c r="F241"/>
    </row>
    <row r="242" spans="1:6" s="14" customFormat="1" ht="13" x14ac:dyDescent="0.3">
      <c r="A242" s="21"/>
      <c r="B242" s="13" t="str">
        <f>B231</f>
        <v>Q1 FY 20</v>
      </c>
      <c r="C242" s="13" t="str">
        <f>C231</f>
        <v>Q2 FY 20</v>
      </c>
      <c r="D242" s="13" t="str">
        <f>D231</f>
        <v>Q3 FY 20</v>
      </c>
      <c r="E242" s="13" t="str">
        <f>E231</f>
        <v>Q4 FY 20</v>
      </c>
      <c r="F242" s="13" t="str">
        <f>F231</f>
        <v>YTD</v>
      </c>
    </row>
    <row r="243" spans="1:6" s="14" customFormat="1" x14ac:dyDescent="0.25">
      <c r="A243" s="12" t="s">
        <v>73</v>
      </c>
      <c r="B243" s="19">
        <f>B228+B240</f>
        <v>118550</v>
      </c>
      <c r="C243" s="19">
        <f>C228+C240</f>
        <v>134489</v>
      </c>
      <c r="D243" s="19">
        <f>D228+D240</f>
        <v>145384</v>
      </c>
      <c r="E243" s="19">
        <f>E228+E240</f>
        <v>126979</v>
      </c>
      <c r="F243" s="19">
        <f>F228+F240</f>
        <v>525402</v>
      </c>
    </row>
    <row r="244" spans="1:6" s="14" customFormat="1" x14ac:dyDescent="0.25">
      <c r="A244" s="35" t="s">
        <v>74</v>
      </c>
      <c r="B244" s="24"/>
      <c r="C244" s="24"/>
      <c r="D244" s="24"/>
      <c r="E244" s="24"/>
      <c r="F244" s="24"/>
    </row>
    <row r="245" spans="1:6" s="42" customFormat="1" ht="12" x14ac:dyDescent="0.3">
      <c r="A245" s="12" t="s">
        <v>75</v>
      </c>
      <c r="B245" s="13" t="str">
        <f>B242</f>
        <v>Q1 FY 20</v>
      </c>
      <c r="C245" s="13" t="str">
        <f>C242</f>
        <v>Q2 FY 20</v>
      </c>
      <c r="D245" s="13" t="str">
        <f>D242</f>
        <v>Q3 FY 20</v>
      </c>
      <c r="E245" s="13" t="str">
        <f>E242</f>
        <v>Q4 FY 20</v>
      </c>
      <c r="F245" s="13" t="str">
        <f>F242</f>
        <v>YTD</v>
      </c>
    </row>
    <row r="246" spans="1:6" s="42" customFormat="1" ht="12" x14ac:dyDescent="0.3">
      <c r="A246" s="36" t="s">
        <v>63</v>
      </c>
      <c r="B246" s="37">
        <v>5972</v>
      </c>
      <c r="C246" s="37">
        <v>7893</v>
      </c>
      <c r="D246" s="37">
        <v>6887</v>
      </c>
      <c r="E246" s="37">
        <v>2779</v>
      </c>
      <c r="F246" s="43">
        <f>SUM(B246:E246)</f>
        <v>23531</v>
      </c>
    </row>
    <row r="247" spans="1:6" s="42" customFormat="1" ht="12" x14ac:dyDescent="0.3">
      <c r="A247" s="36" t="s">
        <v>64</v>
      </c>
      <c r="B247" s="37">
        <v>1590</v>
      </c>
      <c r="C247" s="37">
        <v>1461</v>
      </c>
      <c r="D247" s="37">
        <v>3540</v>
      </c>
      <c r="E247" s="37">
        <v>878</v>
      </c>
      <c r="F247" s="43">
        <f>SUM(B247:E247)</f>
        <v>7469</v>
      </c>
    </row>
    <row r="248" spans="1:6" s="42" customFormat="1" ht="12" x14ac:dyDescent="0.3">
      <c r="A248" s="36" t="s">
        <v>76</v>
      </c>
      <c r="B248" s="37">
        <v>1374</v>
      </c>
      <c r="C248" s="37">
        <v>1722</v>
      </c>
      <c r="D248" s="37">
        <v>1910</v>
      </c>
      <c r="E248" s="37">
        <v>720</v>
      </c>
      <c r="F248" s="43">
        <f>SUM(B248:E248)</f>
        <v>5726</v>
      </c>
    </row>
    <row r="249" spans="1:6" s="42" customFormat="1" ht="12" x14ac:dyDescent="0.3">
      <c r="A249" s="36" t="s">
        <v>77</v>
      </c>
      <c r="B249" s="37">
        <v>4726</v>
      </c>
      <c r="C249" s="37">
        <v>1673</v>
      </c>
      <c r="D249" s="37">
        <v>2395</v>
      </c>
      <c r="E249" s="37">
        <v>1659</v>
      </c>
      <c r="F249" s="43">
        <f>SUM(B249:E249)</f>
        <v>10453</v>
      </c>
    </row>
    <row r="250" spans="1:6" s="42" customFormat="1" ht="12" x14ac:dyDescent="0.3">
      <c r="A250" s="36" t="s">
        <v>78</v>
      </c>
      <c r="B250" s="37">
        <v>698</v>
      </c>
      <c r="C250" s="37">
        <v>616</v>
      </c>
      <c r="D250" s="37">
        <v>705</v>
      </c>
      <c r="E250" s="37">
        <v>252</v>
      </c>
      <c r="F250" s="43">
        <f>SUM(B250:E250)</f>
        <v>2271</v>
      </c>
    </row>
    <row r="251" spans="1:6" s="14" customFormat="1" x14ac:dyDescent="0.25">
      <c r="A251" s="21"/>
      <c r="B251"/>
      <c r="C251" s="40"/>
      <c r="D251" s="31"/>
      <c r="E251" s="31"/>
      <c r="F251" s="31"/>
    </row>
    <row r="252" spans="1:6" s="44" customFormat="1" ht="7.5" customHeight="1" x14ac:dyDescent="0.25">
      <c r="A252" s="27"/>
      <c r="B252" s="27"/>
      <c r="C252" s="28"/>
      <c r="D252" s="28"/>
      <c r="E252" s="28"/>
      <c r="F252" s="28"/>
    </row>
    <row r="253" spans="1:6" x14ac:dyDescent="0.25">
      <c r="A253" s="9" t="s">
        <v>13</v>
      </c>
    </row>
    <row r="254" spans="1:6" x14ac:dyDescent="0.25">
      <c r="A254" s="10"/>
    </row>
    <row r="255" spans="1:6" s="14" customFormat="1" ht="13" x14ac:dyDescent="0.3">
      <c r="A255" s="11" t="s">
        <v>96</v>
      </c>
      <c r="B255" s="41"/>
      <c r="C255" s="41"/>
      <c r="D255" s="41"/>
      <c r="E255" s="41"/>
      <c r="F255" s="41"/>
    </row>
    <row r="256" spans="1:6" s="14" customFormat="1" ht="13" x14ac:dyDescent="0.3">
      <c r="A256" s="29"/>
      <c r="B256" s="41"/>
      <c r="C256" s="41"/>
      <c r="D256" s="41"/>
      <c r="E256" s="41"/>
      <c r="F256" s="41"/>
    </row>
    <row r="257" spans="1:6" s="14" customFormat="1" ht="13" x14ac:dyDescent="0.3">
      <c r="A257" s="12" t="s">
        <v>33</v>
      </c>
      <c r="B257" s="30" t="s">
        <v>97</v>
      </c>
      <c r="C257" s="30" t="s">
        <v>98</v>
      </c>
      <c r="D257" s="30" t="s">
        <v>99</v>
      </c>
      <c r="E257" s="30" t="s">
        <v>100</v>
      </c>
      <c r="F257" s="30" t="s">
        <v>20</v>
      </c>
    </row>
    <row r="258" spans="1:6" s="14" customFormat="1" x14ac:dyDescent="0.25">
      <c r="A258" s="15" t="s">
        <v>34</v>
      </c>
      <c r="B258" s="17">
        <v>8306</v>
      </c>
      <c r="C258" s="17">
        <f>4909+2312</f>
        <v>7221</v>
      </c>
      <c r="D258" s="17">
        <f>4875+1999</f>
        <v>6874</v>
      </c>
      <c r="E258" s="17">
        <f>5498+E289</f>
        <v>8256</v>
      </c>
      <c r="F258" s="22">
        <f t="shared" ref="F258:F266" si="12">B258+C258+D258+E258</f>
        <v>30657</v>
      </c>
    </row>
    <row r="259" spans="1:6" s="14" customFormat="1" x14ac:dyDescent="0.25">
      <c r="A259" s="15" t="s">
        <v>35</v>
      </c>
      <c r="B259" s="17">
        <v>7727</v>
      </c>
      <c r="C259" s="17">
        <f>3951+2693</f>
        <v>6644</v>
      </c>
      <c r="D259" s="17">
        <f>2558+2286</f>
        <v>4844</v>
      </c>
      <c r="E259" s="17">
        <f>4732+E288</f>
        <v>5254</v>
      </c>
      <c r="F259" s="22">
        <f t="shared" si="12"/>
        <v>24469</v>
      </c>
    </row>
    <row r="260" spans="1:6" s="14" customFormat="1" x14ac:dyDescent="0.25">
      <c r="A260" s="15" t="s">
        <v>57</v>
      </c>
      <c r="B260" s="17">
        <v>1018</v>
      </c>
      <c r="C260" s="17">
        <v>1030</v>
      </c>
      <c r="D260" s="17">
        <v>1168</v>
      </c>
      <c r="E260" s="17">
        <v>988</v>
      </c>
      <c r="F260" s="22">
        <f t="shared" si="12"/>
        <v>4204</v>
      </c>
    </row>
    <row r="261" spans="1:6" s="14" customFormat="1" x14ac:dyDescent="0.25">
      <c r="A261" s="15" t="s">
        <v>71</v>
      </c>
      <c r="B261" s="17">
        <v>10305</v>
      </c>
      <c r="C261" s="17">
        <f>9993+1468</f>
        <v>11461</v>
      </c>
      <c r="D261" s="17">
        <f>10098+732</f>
        <v>10830</v>
      </c>
      <c r="E261" s="17">
        <f>12143+E290</f>
        <v>12452</v>
      </c>
      <c r="F261" s="22">
        <f t="shared" si="12"/>
        <v>45048</v>
      </c>
    </row>
    <row r="262" spans="1:6" s="14" customFormat="1" x14ac:dyDescent="0.25">
      <c r="A262" s="15" t="s">
        <v>59</v>
      </c>
      <c r="B262" s="17">
        <v>11486</v>
      </c>
      <c r="C262" s="17">
        <v>15043</v>
      </c>
      <c r="D262" s="17">
        <v>11739</v>
      </c>
      <c r="E262" s="17">
        <v>12617</v>
      </c>
      <c r="F262" s="22">
        <f t="shared" si="12"/>
        <v>50885</v>
      </c>
    </row>
    <row r="263" spans="1:6" s="14" customFormat="1" x14ac:dyDescent="0.25">
      <c r="A263" s="15" t="s">
        <v>40</v>
      </c>
      <c r="B263" s="17">
        <v>99</v>
      </c>
      <c r="C263" s="17">
        <v>1848</v>
      </c>
      <c r="D263" s="17">
        <v>5408</v>
      </c>
      <c r="E263" s="17">
        <v>7130</v>
      </c>
      <c r="F263" s="22">
        <f t="shared" si="12"/>
        <v>14485</v>
      </c>
    </row>
    <row r="264" spans="1:6" s="14" customFormat="1" x14ac:dyDescent="0.25">
      <c r="A264" s="15" t="s">
        <v>84</v>
      </c>
      <c r="B264" s="17">
        <v>0</v>
      </c>
      <c r="C264" s="17">
        <v>0</v>
      </c>
      <c r="D264" s="17">
        <v>0</v>
      </c>
      <c r="E264" s="17">
        <v>0</v>
      </c>
      <c r="F264" s="22">
        <f t="shared" si="12"/>
        <v>0</v>
      </c>
    </row>
    <row r="265" spans="1:6" s="14" customFormat="1" x14ac:dyDescent="0.25">
      <c r="A265" s="15" t="s">
        <v>60</v>
      </c>
      <c r="B265" s="33">
        <v>1605</v>
      </c>
      <c r="C265" s="33">
        <v>2265</v>
      </c>
      <c r="D265" s="33">
        <v>1712</v>
      </c>
      <c r="E265" s="17">
        <v>2118</v>
      </c>
      <c r="F265" s="22">
        <f t="shared" si="12"/>
        <v>7700</v>
      </c>
    </row>
    <row r="266" spans="1:6" s="14" customFormat="1" x14ac:dyDescent="0.25">
      <c r="A266" s="15" t="s">
        <v>101</v>
      </c>
      <c r="B266" s="33">
        <v>2</v>
      </c>
      <c r="C266" s="33">
        <v>0</v>
      </c>
      <c r="D266" s="33">
        <v>0</v>
      </c>
      <c r="E266" s="17"/>
      <c r="F266" s="22">
        <f t="shared" si="12"/>
        <v>2</v>
      </c>
    </row>
    <row r="267" spans="1:6" s="14" customFormat="1" x14ac:dyDescent="0.25">
      <c r="A267" s="18" t="s">
        <v>41</v>
      </c>
      <c r="B267" s="19">
        <f>SUM(B258:B266)</f>
        <v>40548</v>
      </c>
      <c r="C267" s="19">
        <f>SUM(C258:C266)</f>
        <v>45512</v>
      </c>
      <c r="D267" s="19">
        <f>SUM(D258:D266)</f>
        <v>42575</v>
      </c>
      <c r="E267" s="19">
        <f>SUM(E258:E266)</f>
        <v>48815</v>
      </c>
      <c r="F267" s="19">
        <f>SUM(F258:F266)</f>
        <v>177450</v>
      </c>
    </row>
    <row r="268" spans="1:6" s="14" customFormat="1" x14ac:dyDescent="0.25">
      <c r="A268" s="21"/>
      <c r="B268"/>
      <c r="C268"/>
      <c r="D268"/>
      <c r="E268"/>
      <c r="F268"/>
    </row>
    <row r="269" spans="1:6" s="14" customFormat="1" x14ac:dyDescent="0.25">
      <c r="A269" s="21"/>
      <c r="B269"/>
      <c r="C269"/>
      <c r="D269"/>
      <c r="E269"/>
      <c r="F269"/>
    </row>
    <row r="270" spans="1:6" s="14" customFormat="1" ht="13" x14ac:dyDescent="0.3">
      <c r="A270" s="12" t="s">
        <v>72</v>
      </c>
      <c r="B270" s="13" t="str">
        <f>B257</f>
        <v>Q1 FY19</v>
      </c>
      <c r="C270" s="13" t="str">
        <f>C257</f>
        <v>Q2 FY19</v>
      </c>
      <c r="D270" s="13" t="str">
        <f>D257</f>
        <v>Q3 FY19</v>
      </c>
      <c r="E270" s="13" t="str">
        <f>E257</f>
        <v>Q4 FY19</v>
      </c>
      <c r="F270" s="13" t="str">
        <f>F257</f>
        <v>YTD</v>
      </c>
    </row>
    <row r="271" spans="1:6" s="14" customFormat="1" x14ac:dyDescent="0.25">
      <c r="A271" s="15" t="s">
        <v>27</v>
      </c>
      <c r="B271" s="17">
        <v>1</v>
      </c>
      <c r="C271" s="17">
        <v>0</v>
      </c>
      <c r="D271" s="17">
        <v>3</v>
      </c>
      <c r="E271" s="17">
        <v>0</v>
      </c>
      <c r="F271" s="17">
        <f>B271+C271+D271+E271</f>
        <v>4</v>
      </c>
    </row>
    <row r="272" spans="1:6" s="14" customFormat="1" x14ac:dyDescent="0.25">
      <c r="A272" s="15" t="s">
        <v>62</v>
      </c>
      <c r="B272" s="17">
        <v>3</v>
      </c>
      <c r="C272" s="17">
        <v>1</v>
      </c>
      <c r="D272" s="17">
        <v>2</v>
      </c>
      <c r="E272" s="17">
        <v>1</v>
      </c>
      <c r="F272" s="17">
        <f t="shared" ref="F272:F279" si="13">B272+C272+D272+E272</f>
        <v>7</v>
      </c>
    </row>
    <row r="273" spans="1:6" s="14" customFormat="1" x14ac:dyDescent="0.25">
      <c r="A273" s="15" t="s">
        <v>31</v>
      </c>
      <c r="B273" s="17">
        <v>22192</v>
      </c>
      <c r="C273" s="17">
        <f>13784+5249</f>
        <v>19033</v>
      </c>
      <c r="D273" s="17">
        <f>15430+4747</f>
        <v>20177</v>
      </c>
      <c r="E273" s="17">
        <f>17393+E286</f>
        <v>23014</v>
      </c>
      <c r="F273" s="17">
        <f t="shared" si="13"/>
        <v>84416</v>
      </c>
    </row>
    <row r="274" spans="1:6" s="14" customFormat="1" x14ac:dyDescent="0.25">
      <c r="A274" s="15" t="s">
        <v>30</v>
      </c>
      <c r="B274" s="17">
        <v>10243</v>
      </c>
      <c r="C274" s="17">
        <v>8424</v>
      </c>
      <c r="D274" s="17">
        <v>7967</v>
      </c>
      <c r="E274" s="17">
        <v>11001</v>
      </c>
      <c r="F274" s="17">
        <f t="shared" si="13"/>
        <v>37635</v>
      </c>
    </row>
    <row r="275" spans="1:6" s="14" customFormat="1" x14ac:dyDescent="0.25">
      <c r="A275" s="15" t="s">
        <v>22</v>
      </c>
      <c r="B275" s="17">
        <v>19306</v>
      </c>
      <c r="C275" s="17">
        <v>15686</v>
      </c>
      <c r="D275" s="17">
        <v>22309</v>
      </c>
      <c r="E275" s="17">
        <v>25299</v>
      </c>
      <c r="F275" s="17">
        <f t="shared" si="13"/>
        <v>82600</v>
      </c>
    </row>
    <row r="276" spans="1:6" s="14" customFormat="1" x14ac:dyDescent="0.25">
      <c r="A276" s="15" t="s">
        <v>21</v>
      </c>
      <c r="B276" s="17">
        <v>12415</v>
      </c>
      <c r="C276" s="17">
        <v>12646</v>
      </c>
      <c r="D276" s="17">
        <v>14783</v>
      </c>
      <c r="E276" s="17">
        <v>17207</v>
      </c>
      <c r="F276" s="17">
        <f t="shared" si="13"/>
        <v>57051</v>
      </c>
    </row>
    <row r="277" spans="1:6" s="14" customFormat="1" x14ac:dyDescent="0.25">
      <c r="A277" s="15" t="s">
        <v>23</v>
      </c>
      <c r="B277" s="17">
        <v>12797</v>
      </c>
      <c r="C277" s="17">
        <v>14176</v>
      </c>
      <c r="D277" s="17">
        <v>13775</v>
      </c>
      <c r="E277" s="17">
        <v>20017</v>
      </c>
      <c r="F277" s="17">
        <f t="shared" si="13"/>
        <v>60765</v>
      </c>
    </row>
    <row r="278" spans="1:6" s="14" customFormat="1" x14ac:dyDescent="0.25">
      <c r="A278" s="15" t="s">
        <v>24</v>
      </c>
      <c r="B278" s="34">
        <v>14054</v>
      </c>
      <c r="C278" s="34">
        <f>13861+1313</f>
        <v>15174</v>
      </c>
      <c r="D278" s="34">
        <f>18189+1772</f>
        <v>19961</v>
      </c>
      <c r="E278" s="17">
        <f>15313+E287</f>
        <v>16188</v>
      </c>
      <c r="F278" s="17">
        <f t="shared" si="13"/>
        <v>65377</v>
      </c>
    </row>
    <row r="279" spans="1:6" s="14" customFormat="1" x14ac:dyDescent="0.25">
      <c r="A279" s="15" t="s">
        <v>101</v>
      </c>
      <c r="B279" s="34">
        <v>1</v>
      </c>
      <c r="C279" s="34">
        <v>0</v>
      </c>
      <c r="D279" s="34">
        <v>0</v>
      </c>
      <c r="E279" s="17"/>
      <c r="F279" s="17">
        <f t="shared" si="13"/>
        <v>1</v>
      </c>
    </row>
    <row r="280" spans="1:6" s="14" customFormat="1" x14ac:dyDescent="0.25">
      <c r="A280" s="18" t="s">
        <v>65</v>
      </c>
      <c r="B280" s="19">
        <f>SUM(B271:B279)</f>
        <v>91012</v>
      </c>
      <c r="C280" s="19">
        <f>SUM(C271:C279)</f>
        <v>85140</v>
      </c>
      <c r="D280" s="19">
        <f>SUM(D271:D279)</f>
        <v>98977</v>
      </c>
      <c r="E280" s="19">
        <f>SUM(E271:E279)</f>
        <v>112727</v>
      </c>
      <c r="F280" s="19">
        <f>SUM(F271:F279)</f>
        <v>387856</v>
      </c>
    </row>
    <row r="281" spans="1:6" s="14" customFormat="1" x14ac:dyDescent="0.25">
      <c r="A281" s="21"/>
      <c r="B281"/>
      <c r="C281"/>
      <c r="D281"/>
      <c r="E281"/>
      <c r="F281"/>
    </row>
    <row r="282" spans="1:6" s="14" customFormat="1" ht="13" x14ac:dyDescent="0.3">
      <c r="A282" s="21"/>
      <c r="B282" s="13" t="str">
        <f>B270</f>
        <v>Q1 FY19</v>
      </c>
      <c r="C282" s="13" t="str">
        <f>C270</f>
        <v>Q2 FY19</v>
      </c>
      <c r="D282" s="13" t="str">
        <f>D270</f>
        <v>Q3 FY19</v>
      </c>
      <c r="E282" s="13" t="str">
        <f>E270</f>
        <v>Q4 FY19</v>
      </c>
      <c r="F282" s="13" t="str">
        <f>F270</f>
        <v>YTD</v>
      </c>
    </row>
    <row r="283" spans="1:6" s="14" customFormat="1" x14ac:dyDescent="0.25">
      <c r="A283" s="12" t="s">
        <v>73</v>
      </c>
      <c r="B283" s="19">
        <f>B280+B267</f>
        <v>131560</v>
      </c>
      <c r="C283" s="19">
        <f>C280+C267</f>
        <v>130652</v>
      </c>
      <c r="D283" s="19">
        <f>D280+D267</f>
        <v>141552</v>
      </c>
      <c r="E283" s="19">
        <f>E280+E267</f>
        <v>161542</v>
      </c>
      <c r="F283" s="19">
        <f>F280+F267</f>
        <v>565306</v>
      </c>
    </row>
    <row r="284" spans="1:6" s="14" customFormat="1" x14ac:dyDescent="0.25">
      <c r="A284" s="35" t="s">
        <v>74</v>
      </c>
      <c r="B284" s="24"/>
      <c r="C284" s="24"/>
      <c r="D284" s="24"/>
      <c r="E284" s="24"/>
      <c r="F284" s="24"/>
    </row>
    <row r="285" spans="1:6" s="42" customFormat="1" ht="12" x14ac:dyDescent="0.3">
      <c r="A285" s="12" t="s">
        <v>75</v>
      </c>
      <c r="B285" s="13" t="str">
        <f>B257</f>
        <v>Q1 FY19</v>
      </c>
      <c r="C285" s="13" t="str">
        <f>C257</f>
        <v>Q2 FY19</v>
      </c>
      <c r="D285" s="13" t="str">
        <f>D257</f>
        <v>Q3 FY19</v>
      </c>
      <c r="E285" s="13" t="str">
        <f>E257</f>
        <v>Q4 FY19</v>
      </c>
      <c r="F285" s="13" t="str">
        <f>F257</f>
        <v>YTD</v>
      </c>
    </row>
    <row r="286" spans="1:6" s="42" customFormat="1" ht="12" x14ac:dyDescent="0.3">
      <c r="A286" s="36" t="s">
        <v>63</v>
      </c>
      <c r="B286" s="37">
        <v>10436</v>
      </c>
      <c r="C286" s="37">
        <v>5249</v>
      </c>
      <c r="D286" s="37">
        <v>4747</v>
      </c>
      <c r="E286" s="37">
        <v>5621</v>
      </c>
      <c r="F286" s="43">
        <f>SUM(B286:E286)</f>
        <v>26053</v>
      </c>
    </row>
    <row r="287" spans="1:6" s="42" customFormat="1" ht="12" x14ac:dyDescent="0.3">
      <c r="A287" s="36" t="s">
        <v>64</v>
      </c>
      <c r="B287" s="37">
        <v>3720</v>
      </c>
      <c r="C287" s="37">
        <v>1313</v>
      </c>
      <c r="D287" s="37">
        <v>1772</v>
      </c>
      <c r="E287" s="37">
        <v>875</v>
      </c>
      <c r="F287" s="43">
        <f>SUM(B287:E287)</f>
        <v>7680</v>
      </c>
    </row>
    <row r="288" spans="1:6" s="42" customFormat="1" ht="12" x14ac:dyDescent="0.3">
      <c r="A288" s="36" t="s">
        <v>76</v>
      </c>
      <c r="B288" s="37">
        <v>4446</v>
      </c>
      <c r="C288" s="37">
        <v>2693</v>
      </c>
      <c r="D288" s="37">
        <v>2286</v>
      </c>
      <c r="E288" s="37">
        <v>522</v>
      </c>
      <c r="F288" s="43">
        <f>SUM(B288:E288)</f>
        <v>9947</v>
      </c>
    </row>
    <row r="289" spans="1:6" s="42" customFormat="1" ht="12" x14ac:dyDescent="0.3">
      <c r="A289" s="36" t="s">
        <v>77</v>
      </c>
      <c r="B289" s="37">
        <v>4170</v>
      </c>
      <c r="C289" s="37">
        <v>2312</v>
      </c>
      <c r="D289" s="37">
        <v>1999</v>
      </c>
      <c r="E289" s="37">
        <v>2758</v>
      </c>
      <c r="F289" s="43">
        <f>SUM(B289:E289)</f>
        <v>11239</v>
      </c>
    </row>
    <row r="290" spans="1:6" s="42" customFormat="1" ht="12" x14ac:dyDescent="0.3">
      <c r="A290" s="36" t="s">
        <v>78</v>
      </c>
      <c r="B290" s="37">
        <v>0</v>
      </c>
      <c r="C290" s="37">
        <v>1468</v>
      </c>
      <c r="D290" s="37">
        <v>732</v>
      </c>
      <c r="E290" s="37">
        <v>309</v>
      </c>
      <c r="F290" s="43">
        <f>SUM(B290:E290)</f>
        <v>2509</v>
      </c>
    </row>
    <row r="291" spans="1:6" s="14" customFormat="1" x14ac:dyDescent="0.25">
      <c r="A291" s="21"/>
      <c r="B291"/>
      <c r="C291" s="40"/>
      <c r="D291"/>
      <c r="E291" s="31"/>
      <c r="F291" s="31"/>
    </row>
    <row r="292" spans="1:6" s="44" customFormat="1" ht="7.5" customHeight="1" x14ac:dyDescent="0.25">
      <c r="A292" s="27"/>
      <c r="B292" s="27"/>
      <c r="C292" s="28"/>
      <c r="D292" s="28"/>
      <c r="E292" s="28"/>
      <c r="F292" s="28"/>
    </row>
    <row r="293" spans="1:6" x14ac:dyDescent="0.25">
      <c r="A293" s="9" t="s">
        <v>13</v>
      </c>
    </row>
    <row r="294" spans="1:6" x14ac:dyDescent="0.25">
      <c r="A294" s="10"/>
    </row>
    <row r="295" spans="1:6" s="14" customFormat="1" ht="13" x14ac:dyDescent="0.3">
      <c r="A295" s="11" t="s">
        <v>102</v>
      </c>
      <c r="B295"/>
      <c r="C295"/>
      <c r="D295"/>
      <c r="E295"/>
      <c r="F295"/>
    </row>
    <row r="296" spans="1:6" s="14" customFormat="1" ht="13" x14ac:dyDescent="0.3">
      <c r="A296" s="29"/>
      <c r="B296"/>
      <c r="C296"/>
      <c r="D296"/>
      <c r="E296"/>
      <c r="F296"/>
    </row>
    <row r="297" spans="1:6" s="14" customFormat="1" ht="13" x14ac:dyDescent="0.3">
      <c r="A297" s="12" t="s">
        <v>33</v>
      </c>
      <c r="B297" s="13" t="s">
        <v>103</v>
      </c>
      <c r="C297" s="13" t="s">
        <v>104</v>
      </c>
      <c r="D297" s="13" t="s">
        <v>105</v>
      </c>
      <c r="E297" s="13" t="s">
        <v>106</v>
      </c>
      <c r="F297" s="13" t="s">
        <v>20</v>
      </c>
    </row>
    <row r="298" spans="1:6" s="14" customFormat="1" x14ac:dyDescent="0.25">
      <c r="A298" s="15" t="s">
        <v>55</v>
      </c>
      <c r="B298" s="17">
        <v>6359</v>
      </c>
      <c r="C298" s="17">
        <v>9412</v>
      </c>
      <c r="D298" s="17">
        <v>7535</v>
      </c>
      <c r="E298" s="17">
        <f>6195+2580</f>
        <v>8775</v>
      </c>
      <c r="F298" s="17">
        <f t="shared" ref="F298:F304" si="14">B298+C298+D298+E298</f>
        <v>32081</v>
      </c>
    </row>
    <row r="299" spans="1:6" s="14" customFormat="1" x14ac:dyDescent="0.25">
      <c r="A299" s="15" t="s">
        <v>35</v>
      </c>
      <c r="B299" s="17">
        <v>8610</v>
      </c>
      <c r="C299" s="17">
        <f>5427+5637</f>
        <v>11064</v>
      </c>
      <c r="D299" s="17">
        <v>11716</v>
      </c>
      <c r="E299" s="17">
        <f>5613+4624</f>
        <v>10237</v>
      </c>
      <c r="F299" s="17">
        <f t="shared" si="14"/>
        <v>41627</v>
      </c>
    </row>
    <row r="300" spans="1:6" s="14" customFormat="1" x14ac:dyDescent="0.25">
      <c r="A300" s="15" t="s">
        <v>57</v>
      </c>
      <c r="B300" s="17">
        <v>3037</v>
      </c>
      <c r="C300" s="17">
        <v>2107</v>
      </c>
      <c r="D300" s="17">
        <v>2150</v>
      </c>
      <c r="E300" s="17">
        <v>1696</v>
      </c>
      <c r="F300" s="17">
        <f t="shared" si="14"/>
        <v>8990</v>
      </c>
    </row>
    <row r="301" spans="1:6" s="14" customFormat="1" x14ac:dyDescent="0.25">
      <c r="A301" s="15" t="s">
        <v>58</v>
      </c>
      <c r="B301" s="17">
        <v>0</v>
      </c>
      <c r="C301" s="17">
        <v>0</v>
      </c>
      <c r="D301" s="17">
        <v>1812</v>
      </c>
      <c r="E301" s="17">
        <v>12964</v>
      </c>
      <c r="F301" s="17">
        <f t="shared" si="14"/>
        <v>14776</v>
      </c>
    </row>
    <row r="302" spans="1:6" s="14" customFormat="1" x14ac:dyDescent="0.25">
      <c r="A302" s="15" t="s">
        <v>59</v>
      </c>
      <c r="B302" s="17">
        <v>17763</v>
      </c>
      <c r="C302" s="17">
        <v>17129</v>
      </c>
      <c r="D302" s="17">
        <v>16754</v>
      </c>
      <c r="E302" s="17">
        <v>17898</v>
      </c>
      <c r="F302" s="17">
        <f t="shared" si="14"/>
        <v>69544</v>
      </c>
    </row>
    <row r="303" spans="1:6" s="14" customFormat="1" x14ac:dyDescent="0.25">
      <c r="A303" s="15" t="s">
        <v>84</v>
      </c>
      <c r="B303" s="17">
        <v>0</v>
      </c>
      <c r="C303" s="17">
        <v>0</v>
      </c>
      <c r="D303" s="17">
        <v>0</v>
      </c>
      <c r="E303" s="17">
        <v>0</v>
      </c>
      <c r="F303" s="17">
        <f t="shared" si="14"/>
        <v>0</v>
      </c>
    </row>
    <row r="304" spans="1:6" s="14" customFormat="1" x14ac:dyDescent="0.25">
      <c r="A304" s="15" t="s">
        <v>60</v>
      </c>
      <c r="B304" s="33">
        <v>1954</v>
      </c>
      <c r="C304" s="33">
        <v>3002</v>
      </c>
      <c r="D304" s="33">
        <v>2441</v>
      </c>
      <c r="E304" s="17">
        <v>1831</v>
      </c>
      <c r="F304" s="17">
        <f t="shared" si="14"/>
        <v>9228</v>
      </c>
    </row>
    <row r="305" spans="1:6" s="14" customFormat="1" x14ac:dyDescent="0.25">
      <c r="A305" s="18" t="s">
        <v>41</v>
      </c>
      <c r="B305" s="19">
        <f>SUM(B298:B304)</f>
        <v>37723</v>
      </c>
      <c r="C305" s="19">
        <f>SUM(C298:C304)</f>
        <v>42714</v>
      </c>
      <c r="D305" s="19">
        <f>SUM(D298:D304)</f>
        <v>42408</v>
      </c>
      <c r="E305" s="19">
        <f>SUM(E298:E304)</f>
        <v>53401</v>
      </c>
      <c r="F305" s="19">
        <f>SUM(F298:F304)</f>
        <v>176246</v>
      </c>
    </row>
    <row r="306" spans="1:6" s="14" customFormat="1" x14ac:dyDescent="0.25">
      <c r="A306" s="21"/>
      <c r="B306"/>
      <c r="C306"/>
      <c r="D306"/>
      <c r="E306"/>
      <c r="F306"/>
    </row>
    <row r="307" spans="1:6" s="14" customFormat="1" x14ac:dyDescent="0.25">
      <c r="A307" s="21"/>
      <c r="B307"/>
      <c r="C307"/>
      <c r="D307"/>
      <c r="E307"/>
      <c r="F307"/>
    </row>
    <row r="308" spans="1:6" s="14" customFormat="1" ht="13" x14ac:dyDescent="0.3">
      <c r="A308" s="12" t="s">
        <v>72</v>
      </c>
      <c r="B308" s="13" t="str">
        <f>B297</f>
        <v>Q1 FY 18</v>
      </c>
      <c r="C308" s="13" t="str">
        <f>C297</f>
        <v>Q2 FY 18</v>
      </c>
      <c r="D308" s="13" t="str">
        <f>D297</f>
        <v>Q3 FY 18</v>
      </c>
      <c r="E308" s="13" t="str">
        <f>E297</f>
        <v>Q4 FY 18</v>
      </c>
      <c r="F308" s="13" t="str">
        <f>F297</f>
        <v>YTD</v>
      </c>
    </row>
    <row r="309" spans="1:6" s="14" customFormat="1" x14ac:dyDescent="0.25">
      <c r="A309" s="15" t="s">
        <v>27</v>
      </c>
      <c r="B309" s="17">
        <v>28</v>
      </c>
      <c r="C309" s="17">
        <v>10</v>
      </c>
      <c r="D309" s="17">
        <v>7</v>
      </c>
      <c r="E309" s="17">
        <v>0</v>
      </c>
      <c r="F309" s="17">
        <f>B309+C309+D309+E309</f>
        <v>45</v>
      </c>
    </row>
    <row r="310" spans="1:6" s="14" customFormat="1" x14ac:dyDescent="0.25">
      <c r="A310" s="15" t="s">
        <v>62</v>
      </c>
      <c r="B310" s="17">
        <v>3</v>
      </c>
      <c r="C310" s="17">
        <v>1</v>
      </c>
      <c r="D310" s="17">
        <v>0</v>
      </c>
      <c r="E310" s="17">
        <v>4</v>
      </c>
      <c r="F310" s="17">
        <f t="shared" ref="F310:F316" si="15">B310+C310+D310+E310</f>
        <v>8</v>
      </c>
    </row>
    <row r="311" spans="1:6" s="14" customFormat="1" x14ac:dyDescent="0.25">
      <c r="A311" s="15" t="s">
        <v>31</v>
      </c>
      <c r="B311" s="17">
        <f>18143+B323</f>
        <v>28725</v>
      </c>
      <c r="C311" s="17">
        <f>17586+11418</f>
        <v>29004</v>
      </c>
      <c r="D311" s="17">
        <v>29887</v>
      </c>
      <c r="E311" s="17">
        <f>20831+9739</f>
        <v>30570</v>
      </c>
      <c r="F311" s="17">
        <f t="shared" si="15"/>
        <v>118186</v>
      </c>
    </row>
    <row r="312" spans="1:6" s="14" customFormat="1" x14ac:dyDescent="0.25">
      <c r="A312" s="15" t="s">
        <v>30</v>
      </c>
      <c r="B312" s="17">
        <v>11732</v>
      </c>
      <c r="C312" s="17">
        <v>12188</v>
      </c>
      <c r="D312" s="17">
        <v>13802</v>
      </c>
      <c r="E312" s="17">
        <v>14313</v>
      </c>
      <c r="F312" s="17">
        <f t="shared" si="15"/>
        <v>52035</v>
      </c>
    </row>
    <row r="313" spans="1:6" s="14" customFormat="1" x14ac:dyDescent="0.25">
      <c r="A313" s="15" t="s">
        <v>107</v>
      </c>
      <c r="B313" s="17">
        <v>18954</v>
      </c>
      <c r="C313" s="17">
        <v>16861</v>
      </c>
      <c r="D313" s="17">
        <v>16092</v>
      </c>
      <c r="E313" s="17">
        <v>24679</v>
      </c>
      <c r="F313" s="17">
        <f t="shared" si="15"/>
        <v>76586</v>
      </c>
    </row>
    <row r="314" spans="1:6" s="14" customFormat="1" x14ac:dyDescent="0.25">
      <c r="A314" s="15" t="s">
        <v>108</v>
      </c>
      <c r="B314" s="17">
        <v>13508</v>
      </c>
      <c r="C314" s="17">
        <v>13631</v>
      </c>
      <c r="D314" s="17">
        <v>11476</v>
      </c>
      <c r="E314" s="17">
        <v>16295</v>
      </c>
      <c r="F314" s="17">
        <f t="shared" si="15"/>
        <v>54910</v>
      </c>
    </row>
    <row r="315" spans="1:6" s="14" customFormat="1" x14ac:dyDescent="0.25">
      <c r="A315" s="15" t="s">
        <v>23</v>
      </c>
      <c r="B315" s="17">
        <v>1752</v>
      </c>
      <c r="C315" s="17">
        <v>16438</v>
      </c>
      <c r="D315" s="17">
        <v>20311</v>
      </c>
      <c r="E315" s="17">
        <v>20696</v>
      </c>
      <c r="F315" s="17">
        <f t="shared" si="15"/>
        <v>59197</v>
      </c>
    </row>
    <row r="316" spans="1:6" s="14" customFormat="1" x14ac:dyDescent="0.25">
      <c r="A316" s="15" t="s">
        <v>24</v>
      </c>
      <c r="B316" s="34">
        <f>21159+B324</f>
        <v>26051</v>
      </c>
      <c r="C316" s="34">
        <f>17542+4821</f>
        <v>22363</v>
      </c>
      <c r="D316" s="34">
        <v>25084</v>
      </c>
      <c r="E316" s="17">
        <f>19294+3505</f>
        <v>22799</v>
      </c>
      <c r="F316" s="17">
        <f t="shared" si="15"/>
        <v>96297</v>
      </c>
    </row>
    <row r="317" spans="1:6" s="14" customFormat="1" x14ac:dyDescent="0.25">
      <c r="A317" s="18" t="s">
        <v>65</v>
      </c>
      <c r="B317" s="19">
        <f>SUM(B309:B316)</f>
        <v>100753</v>
      </c>
      <c r="C317" s="19">
        <f>SUM(C309:C316)</f>
        <v>110496</v>
      </c>
      <c r="D317" s="19">
        <f>SUM(D309:D316)</f>
        <v>116659</v>
      </c>
      <c r="E317" s="19">
        <f>SUM(E309:E316)</f>
        <v>129356</v>
      </c>
      <c r="F317" s="19">
        <f>SUM(F309:F316)</f>
        <v>457264</v>
      </c>
    </row>
    <row r="318" spans="1:6" s="14" customFormat="1" x14ac:dyDescent="0.25">
      <c r="A318" s="21"/>
      <c r="B318"/>
      <c r="C318"/>
      <c r="D318"/>
      <c r="E318"/>
      <c r="F318"/>
    </row>
    <row r="319" spans="1:6" s="14" customFormat="1" ht="13" x14ac:dyDescent="0.3">
      <c r="A319" s="21"/>
      <c r="B319" s="13" t="str">
        <f>B308</f>
        <v>Q1 FY 18</v>
      </c>
      <c r="C319" s="13" t="str">
        <f>C308</f>
        <v>Q2 FY 18</v>
      </c>
      <c r="D319" s="13" t="str">
        <f>D308</f>
        <v>Q3 FY 18</v>
      </c>
      <c r="E319" s="13" t="str">
        <f>E308</f>
        <v>Q4 FY 18</v>
      </c>
      <c r="F319" s="13" t="str">
        <f>F308</f>
        <v>YTD</v>
      </c>
    </row>
    <row r="320" spans="1:6" s="14" customFormat="1" x14ac:dyDescent="0.25">
      <c r="A320" s="12" t="s">
        <v>73</v>
      </c>
      <c r="B320" s="19">
        <f>B317+B305</f>
        <v>138476</v>
      </c>
      <c r="C320" s="19">
        <f>C317+C305</f>
        <v>153210</v>
      </c>
      <c r="D320" s="19">
        <f>D317+D305</f>
        <v>159067</v>
      </c>
      <c r="E320" s="19">
        <f>E317+E305</f>
        <v>182757</v>
      </c>
      <c r="F320" s="19">
        <f>F317+F305</f>
        <v>633510</v>
      </c>
    </row>
    <row r="321" spans="1:6" s="14" customFormat="1" x14ac:dyDescent="0.25">
      <c r="A321" s="35" t="s">
        <v>74</v>
      </c>
      <c r="B321" s="24"/>
      <c r="C321" s="24"/>
      <c r="D321" s="24"/>
      <c r="E321" s="24"/>
      <c r="F321" s="24"/>
    </row>
    <row r="322" spans="1:6" s="42" customFormat="1" ht="12" x14ac:dyDescent="0.3">
      <c r="A322" s="12" t="s">
        <v>75</v>
      </c>
      <c r="B322" s="13" t="str">
        <f>B297</f>
        <v>Q1 FY 18</v>
      </c>
      <c r="C322" s="13" t="str">
        <f>C297</f>
        <v>Q2 FY 18</v>
      </c>
      <c r="D322" s="13" t="str">
        <f>D297</f>
        <v>Q3 FY 18</v>
      </c>
      <c r="E322" s="13" t="str">
        <f>E297</f>
        <v>Q4 FY 18</v>
      </c>
      <c r="F322" s="13" t="str">
        <f>F297</f>
        <v>YTD</v>
      </c>
    </row>
    <row r="323" spans="1:6" s="42" customFormat="1" ht="12" x14ac:dyDescent="0.3">
      <c r="A323" s="36" t="s">
        <v>63</v>
      </c>
      <c r="B323" s="37">
        <v>10582</v>
      </c>
      <c r="C323" s="37">
        <v>11418</v>
      </c>
      <c r="D323" s="37">
        <v>11934</v>
      </c>
      <c r="E323" s="37">
        <v>9739</v>
      </c>
      <c r="F323" s="43">
        <f>SUM(B323:E323)</f>
        <v>43673</v>
      </c>
    </row>
    <row r="324" spans="1:6" s="42" customFormat="1" ht="12" x14ac:dyDescent="0.3">
      <c r="A324" s="36" t="s">
        <v>64</v>
      </c>
      <c r="B324" s="37">
        <v>4892</v>
      </c>
      <c r="C324" s="37">
        <v>4821</v>
      </c>
      <c r="D324" s="37">
        <v>5559</v>
      </c>
      <c r="E324" s="37">
        <v>3505</v>
      </c>
      <c r="F324" s="43">
        <f>SUM(B324:E324)</f>
        <v>18777</v>
      </c>
    </row>
    <row r="325" spans="1:6" s="42" customFormat="1" ht="12" x14ac:dyDescent="0.3">
      <c r="A325" s="36" t="s">
        <v>76</v>
      </c>
      <c r="B325" s="37">
        <v>5086</v>
      </c>
      <c r="C325" s="37">
        <v>5637</v>
      </c>
      <c r="D325" s="37">
        <v>6507</v>
      </c>
      <c r="E325" s="37">
        <v>4624</v>
      </c>
      <c r="F325" s="43">
        <f>SUM(B325:E325)</f>
        <v>21854</v>
      </c>
    </row>
    <row r="326" spans="1:6" s="42" customFormat="1" ht="12" x14ac:dyDescent="0.3">
      <c r="A326" s="36" t="s">
        <v>77</v>
      </c>
      <c r="B326" s="37">
        <v>0</v>
      </c>
      <c r="C326" s="37">
        <v>0</v>
      </c>
      <c r="D326" s="37">
        <v>1328</v>
      </c>
      <c r="E326" s="37">
        <v>2580</v>
      </c>
      <c r="F326" s="43">
        <f>SUM(B326:E326)</f>
        <v>3908</v>
      </c>
    </row>
    <row r="327" spans="1:6" s="14" customFormat="1" x14ac:dyDescent="0.25">
      <c r="A327" s="21"/>
      <c r="B327"/>
      <c r="C327" s="40"/>
      <c r="D327"/>
      <c r="E327"/>
      <c r="F327"/>
    </row>
    <row r="328" spans="1:6" s="44" customFormat="1" ht="7.5" customHeight="1" x14ac:dyDescent="0.25">
      <c r="A328" s="27"/>
      <c r="B328" s="27"/>
      <c r="C328" s="28"/>
      <c r="D328" s="28"/>
      <c r="E328" s="28"/>
      <c r="F328" s="28"/>
    </row>
    <row r="329" spans="1:6" s="14" customFormat="1" x14ac:dyDescent="0.25">
      <c r="A329" s="45"/>
    </row>
    <row r="330" spans="1:6" s="14" customFormat="1" ht="13" x14ac:dyDescent="0.3">
      <c r="A330" s="11" t="s">
        <v>109</v>
      </c>
      <c r="B330"/>
      <c r="C330"/>
      <c r="D330"/>
      <c r="E330"/>
      <c r="F330"/>
    </row>
    <row r="331" spans="1:6" s="14" customFormat="1" ht="13" x14ac:dyDescent="0.3">
      <c r="A331" s="29"/>
      <c r="B331"/>
      <c r="C331"/>
      <c r="D331"/>
      <c r="E331"/>
      <c r="F331"/>
    </row>
    <row r="332" spans="1:6" s="14" customFormat="1" ht="13" x14ac:dyDescent="0.3">
      <c r="A332" s="12" t="s">
        <v>33</v>
      </c>
      <c r="B332" s="13" t="s">
        <v>110</v>
      </c>
      <c r="C332" s="13" t="s">
        <v>111</v>
      </c>
      <c r="D332" s="13" t="s">
        <v>112</v>
      </c>
      <c r="E332" s="13" t="s">
        <v>113</v>
      </c>
      <c r="F332" s="13" t="s">
        <v>20</v>
      </c>
    </row>
    <row r="333" spans="1:6" s="14" customFormat="1" x14ac:dyDescent="0.25">
      <c r="A333" s="15" t="s">
        <v>55</v>
      </c>
      <c r="B333" s="17">
        <v>8761</v>
      </c>
      <c r="C333" s="17">
        <v>12145</v>
      </c>
      <c r="D333" s="17">
        <v>12489</v>
      </c>
      <c r="E333" s="17">
        <v>13257</v>
      </c>
      <c r="F333" s="17">
        <f t="shared" ref="F333:F338" si="16">B333+C333+D333+E333</f>
        <v>46652</v>
      </c>
    </row>
    <row r="334" spans="1:6" s="14" customFormat="1" x14ac:dyDescent="0.25">
      <c r="A334" s="15" t="s">
        <v>35</v>
      </c>
      <c r="B334" s="17">
        <v>6855</v>
      </c>
      <c r="C334" s="17">
        <v>8419</v>
      </c>
      <c r="D334" s="17">
        <v>9617</v>
      </c>
      <c r="E334" s="17">
        <v>10133</v>
      </c>
      <c r="F334" s="17">
        <f t="shared" si="16"/>
        <v>35024</v>
      </c>
    </row>
    <row r="335" spans="1:6" s="14" customFormat="1" x14ac:dyDescent="0.25">
      <c r="A335" s="15" t="s">
        <v>57</v>
      </c>
      <c r="B335" s="17">
        <v>2508</v>
      </c>
      <c r="C335" s="17">
        <v>1935</v>
      </c>
      <c r="D335" s="17">
        <v>2618</v>
      </c>
      <c r="E335" s="17">
        <v>3004</v>
      </c>
      <c r="F335" s="17">
        <f t="shared" si="16"/>
        <v>10065</v>
      </c>
    </row>
    <row r="336" spans="1:6" s="14" customFormat="1" x14ac:dyDescent="0.25">
      <c r="A336" s="15" t="s">
        <v>114</v>
      </c>
      <c r="B336" s="17">
        <v>13406</v>
      </c>
      <c r="C336" s="17">
        <v>18525</v>
      </c>
      <c r="D336" s="17">
        <v>20937</v>
      </c>
      <c r="E336" s="17">
        <v>23279</v>
      </c>
      <c r="F336" s="17">
        <f t="shared" si="16"/>
        <v>76147</v>
      </c>
    </row>
    <row r="337" spans="1:6" s="14" customFormat="1" x14ac:dyDescent="0.25">
      <c r="A337" s="15" t="s">
        <v>84</v>
      </c>
      <c r="B337" s="17">
        <v>1</v>
      </c>
      <c r="C337" s="17">
        <v>1</v>
      </c>
      <c r="D337" s="17">
        <v>5</v>
      </c>
      <c r="E337" s="17">
        <v>0</v>
      </c>
      <c r="F337" s="17">
        <f t="shared" si="16"/>
        <v>7</v>
      </c>
    </row>
    <row r="338" spans="1:6" s="14" customFormat="1" x14ac:dyDescent="0.25">
      <c r="A338" s="15" t="s">
        <v>60</v>
      </c>
      <c r="B338" s="33">
        <v>3041</v>
      </c>
      <c r="C338" s="33">
        <v>2593</v>
      </c>
      <c r="D338" s="33">
        <v>2805</v>
      </c>
      <c r="E338" s="17">
        <v>2417</v>
      </c>
      <c r="F338" s="17">
        <f t="shared" si="16"/>
        <v>10856</v>
      </c>
    </row>
    <row r="339" spans="1:6" s="14" customFormat="1" x14ac:dyDescent="0.25">
      <c r="A339" s="18" t="s">
        <v>41</v>
      </c>
      <c r="B339" s="19">
        <f>SUM(B333:B338)</f>
        <v>34572</v>
      </c>
      <c r="C339" s="19">
        <f>SUM(C333:C338)</f>
        <v>43618</v>
      </c>
      <c r="D339" s="19">
        <f>SUM(D333:D338)</f>
        <v>48471</v>
      </c>
      <c r="E339" s="19">
        <f>SUM(E333:E338)</f>
        <v>52090</v>
      </c>
      <c r="F339" s="19">
        <f>SUM(F333:F338)</f>
        <v>178751</v>
      </c>
    </row>
    <row r="340" spans="1:6" s="14" customFormat="1" x14ac:dyDescent="0.25">
      <c r="A340" s="21"/>
      <c r="B340"/>
      <c r="C340"/>
      <c r="D340"/>
      <c r="E340"/>
      <c r="F340"/>
    </row>
    <row r="341" spans="1:6" s="14" customFormat="1" x14ac:dyDescent="0.25">
      <c r="A341" s="21"/>
      <c r="B341"/>
      <c r="C341"/>
      <c r="D341"/>
      <c r="E341"/>
      <c r="F341"/>
    </row>
    <row r="342" spans="1:6" s="14" customFormat="1" ht="13" x14ac:dyDescent="0.3">
      <c r="A342" s="12" t="s">
        <v>72</v>
      </c>
      <c r="B342" s="13" t="str">
        <f>B332</f>
        <v>Q1 FY 17</v>
      </c>
      <c r="C342" s="13" t="str">
        <f>C332</f>
        <v>Q2 FY 17</v>
      </c>
      <c r="D342" s="13" t="str">
        <f>D332</f>
        <v>Q3 FY 17</v>
      </c>
      <c r="E342" s="13" t="str">
        <f>E332</f>
        <v>Q4 FY 17</v>
      </c>
      <c r="F342" s="13" t="str">
        <f>F332</f>
        <v>YTD</v>
      </c>
    </row>
    <row r="343" spans="1:6" s="14" customFormat="1" x14ac:dyDescent="0.25">
      <c r="A343" s="15" t="s">
        <v>27</v>
      </c>
      <c r="B343" s="17">
        <v>160</v>
      </c>
      <c r="C343" s="17">
        <v>127</v>
      </c>
      <c r="D343" s="17">
        <v>82</v>
      </c>
      <c r="E343" s="17">
        <v>53</v>
      </c>
      <c r="F343" s="17">
        <f>B343+C343+D343+E343</f>
        <v>422</v>
      </c>
    </row>
    <row r="344" spans="1:6" s="14" customFormat="1" x14ac:dyDescent="0.25">
      <c r="A344" s="15" t="s">
        <v>62</v>
      </c>
      <c r="B344" s="17">
        <v>141</v>
      </c>
      <c r="C344" s="17">
        <v>24</v>
      </c>
      <c r="D344" s="17">
        <v>20</v>
      </c>
      <c r="E344" s="17">
        <v>14</v>
      </c>
      <c r="F344" s="17">
        <f t="shared" ref="F344:F349" si="17">B344+C344+D344+E344</f>
        <v>199</v>
      </c>
    </row>
    <row r="345" spans="1:6" s="14" customFormat="1" x14ac:dyDescent="0.25">
      <c r="A345" s="15" t="s">
        <v>31</v>
      </c>
      <c r="B345" s="17">
        <v>28329</v>
      </c>
      <c r="C345" s="17">
        <v>26807</v>
      </c>
      <c r="D345" s="17">
        <v>34372</v>
      </c>
      <c r="E345" s="17">
        <v>35377</v>
      </c>
      <c r="F345" s="17">
        <f t="shared" si="17"/>
        <v>124885</v>
      </c>
    </row>
    <row r="346" spans="1:6" s="14" customFormat="1" x14ac:dyDescent="0.25">
      <c r="A346" s="15" t="s">
        <v>30</v>
      </c>
      <c r="B346" s="17">
        <v>12393</v>
      </c>
      <c r="C346" s="17">
        <v>10367</v>
      </c>
      <c r="D346" s="17">
        <v>5719</v>
      </c>
      <c r="E346" s="17">
        <v>9108</v>
      </c>
      <c r="F346" s="17">
        <f t="shared" si="17"/>
        <v>37587</v>
      </c>
    </row>
    <row r="347" spans="1:6" s="14" customFormat="1" x14ac:dyDescent="0.25">
      <c r="A347" s="15" t="s">
        <v>107</v>
      </c>
      <c r="B347" s="17">
        <v>20093</v>
      </c>
      <c r="C347" s="17">
        <v>19712</v>
      </c>
      <c r="D347" s="17">
        <v>19994</v>
      </c>
      <c r="E347" s="17">
        <v>27695</v>
      </c>
      <c r="F347" s="17">
        <f t="shared" si="17"/>
        <v>87494</v>
      </c>
    </row>
    <row r="348" spans="1:6" s="14" customFormat="1" x14ac:dyDescent="0.25">
      <c r="A348" s="15" t="s">
        <v>24</v>
      </c>
      <c r="B348" s="17">
        <v>25918</v>
      </c>
      <c r="C348" s="17">
        <v>25894</v>
      </c>
      <c r="D348" s="17">
        <v>30192</v>
      </c>
      <c r="E348" s="17">
        <v>33165</v>
      </c>
      <c r="F348" s="17">
        <f t="shared" si="17"/>
        <v>115169</v>
      </c>
    </row>
    <row r="349" spans="1:6" s="14" customFormat="1" x14ac:dyDescent="0.25">
      <c r="A349" s="15" t="s">
        <v>108</v>
      </c>
      <c r="B349" s="34">
        <v>12720</v>
      </c>
      <c r="C349" s="34">
        <v>12686</v>
      </c>
      <c r="D349" s="34">
        <v>13395</v>
      </c>
      <c r="E349" s="17">
        <v>17498</v>
      </c>
      <c r="F349" s="17">
        <f t="shared" si="17"/>
        <v>56299</v>
      </c>
    </row>
    <row r="350" spans="1:6" s="14" customFormat="1" x14ac:dyDescent="0.25">
      <c r="A350" s="18" t="s">
        <v>65</v>
      </c>
      <c r="B350" s="19">
        <f>SUM(B343:B349)</f>
        <v>99754</v>
      </c>
      <c r="C350" s="19">
        <f>SUM(C343:C349)</f>
        <v>95617</v>
      </c>
      <c r="D350" s="19">
        <f>SUM(D343:D349)</f>
        <v>103774</v>
      </c>
      <c r="E350" s="19">
        <f>SUM(E343:E349)</f>
        <v>122910</v>
      </c>
      <c r="F350" s="19">
        <f>SUM(F343:F349)</f>
        <v>422055</v>
      </c>
    </row>
    <row r="351" spans="1:6" s="14" customFormat="1" x14ac:dyDescent="0.25">
      <c r="A351" s="21"/>
      <c r="B351"/>
      <c r="C351"/>
      <c r="D351"/>
      <c r="E351"/>
      <c r="F351"/>
    </row>
    <row r="352" spans="1:6" s="14" customFormat="1" ht="13" x14ac:dyDescent="0.3">
      <c r="A352" s="21"/>
      <c r="B352" s="13" t="str">
        <f>B342</f>
        <v>Q1 FY 17</v>
      </c>
      <c r="C352" s="13" t="str">
        <f>C342</f>
        <v>Q2 FY 17</v>
      </c>
      <c r="D352" s="13" t="str">
        <f>D342</f>
        <v>Q3 FY 17</v>
      </c>
      <c r="E352" s="13" t="str">
        <f>E342</f>
        <v>Q4 FY 17</v>
      </c>
      <c r="F352" s="13" t="str">
        <f>F342</f>
        <v>YTD</v>
      </c>
    </row>
    <row r="353" spans="1:6" s="14" customFormat="1" x14ac:dyDescent="0.25">
      <c r="A353" s="12" t="s">
        <v>73</v>
      </c>
      <c r="B353" s="19">
        <f>B350+B339</f>
        <v>134326</v>
      </c>
      <c r="C353" s="19">
        <f>C350+C339</f>
        <v>139235</v>
      </c>
      <c r="D353" s="19">
        <f>D350+D339</f>
        <v>152245</v>
      </c>
      <c r="E353" s="19">
        <f>E350+E339</f>
        <v>175000</v>
      </c>
      <c r="F353" s="19">
        <f>F350+F339</f>
        <v>600806</v>
      </c>
    </row>
    <row r="354" spans="1:6" s="14" customFormat="1" x14ac:dyDescent="0.25">
      <c r="A354" s="35" t="s">
        <v>74</v>
      </c>
      <c r="B354" s="24"/>
      <c r="C354" s="24"/>
      <c r="D354" s="24"/>
      <c r="E354" s="24"/>
      <c r="F354" s="24"/>
    </row>
    <row r="355" spans="1:6" s="42" customFormat="1" ht="12" x14ac:dyDescent="0.3">
      <c r="A355" s="12" t="s">
        <v>75</v>
      </c>
      <c r="B355" s="13" t="s">
        <v>110</v>
      </c>
      <c r="C355" s="13" t="s">
        <v>111</v>
      </c>
      <c r="D355" s="13" t="s">
        <v>112</v>
      </c>
      <c r="E355" s="13" t="s">
        <v>113</v>
      </c>
      <c r="F355" s="13" t="s">
        <v>20</v>
      </c>
    </row>
    <row r="356" spans="1:6" s="42" customFormat="1" ht="12" x14ac:dyDescent="0.3">
      <c r="A356" s="36" t="s">
        <v>76</v>
      </c>
      <c r="B356" s="37">
        <v>0</v>
      </c>
      <c r="C356" s="37">
        <v>1680</v>
      </c>
      <c r="D356" s="37">
        <v>4372</v>
      </c>
      <c r="E356" s="37">
        <v>3415</v>
      </c>
      <c r="F356" s="43">
        <f>SUM(B356:E356)</f>
        <v>9467</v>
      </c>
    </row>
    <row r="357" spans="1:6" s="42" customFormat="1" ht="12" x14ac:dyDescent="0.3">
      <c r="A357" s="36" t="s">
        <v>63</v>
      </c>
      <c r="B357" s="37">
        <v>9576</v>
      </c>
      <c r="C357" s="37">
        <v>8650</v>
      </c>
      <c r="D357" s="37">
        <v>11736</v>
      </c>
      <c r="E357" s="37">
        <v>8906</v>
      </c>
      <c r="F357" s="43">
        <f>SUM(B357:E357)</f>
        <v>38868</v>
      </c>
    </row>
    <row r="358" spans="1:6" s="42" customFormat="1" ht="12" x14ac:dyDescent="0.3">
      <c r="A358" s="36" t="s">
        <v>64</v>
      </c>
      <c r="B358" s="37">
        <v>3982</v>
      </c>
      <c r="C358" s="37">
        <v>4713</v>
      </c>
      <c r="D358" s="37">
        <v>5227</v>
      </c>
      <c r="E358" s="37">
        <v>3803</v>
      </c>
      <c r="F358" s="43">
        <f>SUM(B358:E358)</f>
        <v>17725</v>
      </c>
    </row>
    <row r="359" spans="1:6" s="14" customFormat="1" x14ac:dyDescent="0.25">
      <c r="A359" s="21"/>
      <c r="B359"/>
      <c r="C359"/>
      <c r="D359"/>
      <c r="E359"/>
      <c r="F359"/>
    </row>
    <row r="360" spans="1:6" s="44" customFormat="1" ht="7.5" customHeight="1" x14ac:dyDescent="0.25">
      <c r="A360" s="27"/>
      <c r="B360" s="27"/>
      <c r="C360" s="28"/>
      <c r="D360" s="28"/>
      <c r="E360" s="28"/>
      <c r="F360" s="28"/>
    </row>
    <row r="361" spans="1:6" x14ac:dyDescent="0.25">
      <c r="A361"/>
    </row>
    <row r="362" spans="1:6" ht="13" x14ac:dyDescent="0.3">
      <c r="A362" s="11" t="s">
        <v>115</v>
      </c>
    </row>
    <row r="363" spans="1:6" ht="13" x14ac:dyDescent="0.3">
      <c r="A363" s="29"/>
    </row>
    <row r="364" spans="1:6" ht="13" x14ac:dyDescent="0.3">
      <c r="A364" s="12" t="s">
        <v>33</v>
      </c>
      <c r="B364" s="13" t="s">
        <v>116</v>
      </c>
      <c r="C364" s="13" t="s">
        <v>117</v>
      </c>
      <c r="D364" s="13" t="s">
        <v>118</v>
      </c>
      <c r="E364" s="13" t="s">
        <v>119</v>
      </c>
      <c r="F364" s="13" t="s">
        <v>20</v>
      </c>
    </row>
    <row r="365" spans="1:6" x14ac:dyDescent="0.25">
      <c r="A365" s="15" t="s">
        <v>55</v>
      </c>
      <c r="B365" s="17">
        <v>5290</v>
      </c>
      <c r="C365" s="17">
        <v>12358</v>
      </c>
      <c r="D365" s="17">
        <v>11415</v>
      </c>
      <c r="E365" s="17">
        <v>10184</v>
      </c>
      <c r="F365" s="17">
        <f t="shared" ref="F365:F370" si="18">B365+C365+D365+E365</f>
        <v>39247</v>
      </c>
    </row>
    <row r="366" spans="1:6" x14ac:dyDescent="0.25">
      <c r="A366" s="15" t="s">
        <v>56</v>
      </c>
      <c r="B366" s="17">
        <v>8880</v>
      </c>
      <c r="C366" s="17">
        <v>4892</v>
      </c>
      <c r="D366" s="17">
        <v>9993</v>
      </c>
      <c r="E366" s="17">
        <v>12432</v>
      </c>
      <c r="F366" s="17">
        <f t="shared" si="18"/>
        <v>36197</v>
      </c>
    </row>
    <row r="367" spans="1:6" x14ac:dyDescent="0.25">
      <c r="A367" s="15" t="s">
        <v>57</v>
      </c>
      <c r="B367" s="17">
        <v>3175</v>
      </c>
      <c r="C367" s="17">
        <v>1581</v>
      </c>
      <c r="D367" s="17">
        <v>2682</v>
      </c>
      <c r="E367" s="17">
        <v>4792</v>
      </c>
      <c r="F367" s="17">
        <f t="shared" si="18"/>
        <v>12230</v>
      </c>
    </row>
    <row r="368" spans="1:6" x14ac:dyDescent="0.25">
      <c r="A368" s="15" t="s">
        <v>114</v>
      </c>
      <c r="B368" s="17"/>
      <c r="C368" s="17"/>
      <c r="D368" s="17"/>
      <c r="E368" s="17">
        <v>1722</v>
      </c>
      <c r="F368" s="17">
        <f t="shared" si="18"/>
        <v>1722</v>
      </c>
    </row>
    <row r="369" spans="1:6" x14ac:dyDescent="0.25">
      <c r="A369" s="15" t="s">
        <v>84</v>
      </c>
      <c r="B369" s="17">
        <v>81</v>
      </c>
      <c r="C369" s="17">
        <v>37</v>
      </c>
      <c r="D369" s="17">
        <v>22</v>
      </c>
      <c r="E369" s="17">
        <v>7</v>
      </c>
      <c r="F369" s="17">
        <f t="shared" si="18"/>
        <v>147</v>
      </c>
    </row>
    <row r="370" spans="1:6" x14ac:dyDescent="0.25">
      <c r="A370" s="15" t="s">
        <v>60</v>
      </c>
      <c r="B370" s="33">
        <v>3776</v>
      </c>
      <c r="C370" s="33">
        <v>2819</v>
      </c>
      <c r="D370" s="33">
        <v>2912</v>
      </c>
      <c r="E370" s="33">
        <v>3056</v>
      </c>
      <c r="F370" s="17">
        <f t="shared" si="18"/>
        <v>12563</v>
      </c>
    </row>
    <row r="371" spans="1:6" x14ac:dyDescent="0.25">
      <c r="A371" s="18" t="s">
        <v>41</v>
      </c>
      <c r="B371" s="19">
        <f>SUM(B365:B370)</f>
        <v>21202</v>
      </c>
      <c r="C371" s="19">
        <f>SUM(C365:C370)</f>
        <v>21687</v>
      </c>
      <c r="D371" s="19">
        <f>SUM(D365:D370)</f>
        <v>27024</v>
      </c>
      <c r="E371" s="19">
        <f>SUM(E365:E370)</f>
        <v>32193</v>
      </c>
      <c r="F371" s="19">
        <f>SUM(F365:F370)</f>
        <v>102106</v>
      </c>
    </row>
    <row r="374" spans="1:6" ht="13" x14ac:dyDescent="0.3">
      <c r="A374" s="12" t="s">
        <v>72</v>
      </c>
      <c r="B374" s="13" t="str">
        <f>B364</f>
        <v>Q1 FY 16</v>
      </c>
      <c r="C374" s="13" t="str">
        <f>C364</f>
        <v>Q2 FY 16</v>
      </c>
      <c r="D374" s="13" t="str">
        <f>D364</f>
        <v>Q3 FY 16</v>
      </c>
      <c r="E374" s="13" t="str">
        <f>E364</f>
        <v>Q4 FY 16</v>
      </c>
      <c r="F374" s="13" t="str">
        <f>F364</f>
        <v>YTD</v>
      </c>
    </row>
    <row r="375" spans="1:6" x14ac:dyDescent="0.25">
      <c r="A375" s="15" t="s">
        <v>27</v>
      </c>
      <c r="B375" s="17">
        <v>5986</v>
      </c>
      <c r="C375" s="17">
        <v>5347</v>
      </c>
      <c r="D375" s="17">
        <v>5658</v>
      </c>
      <c r="E375" s="17">
        <v>3218</v>
      </c>
      <c r="F375" s="17">
        <f>B375+C375+D375+E375</f>
        <v>20209</v>
      </c>
    </row>
    <row r="376" spans="1:6" x14ac:dyDescent="0.25">
      <c r="A376" s="15" t="s">
        <v>62</v>
      </c>
      <c r="B376" s="17">
        <v>515</v>
      </c>
      <c r="C376" s="17">
        <v>567</v>
      </c>
      <c r="D376" s="17">
        <v>183</v>
      </c>
      <c r="E376" s="17">
        <v>120</v>
      </c>
      <c r="F376" s="17">
        <f t="shared" ref="F376:F381" si="19">B376+C376+D376+E376</f>
        <v>1385</v>
      </c>
    </row>
    <row r="377" spans="1:6" x14ac:dyDescent="0.25">
      <c r="A377" s="15" t="s">
        <v>63</v>
      </c>
      <c r="B377" s="17">
        <v>16365</v>
      </c>
      <c r="C377" s="17">
        <v>20341</v>
      </c>
      <c r="D377" s="17">
        <v>30215</v>
      </c>
      <c r="E377" s="17">
        <v>35905</v>
      </c>
      <c r="F377" s="17">
        <f t="shared" si="19"/>
        <v>102826</v>
      </c>
    </row>
    <row r="378" spans="1:6" x14ac:dyDescent="0.25">
      <c r="A378" s="15" t="s">
        <v>30</v>
      </c>
      <c r="B378" s="17">
        <v>10428</v>
      </c>
      <c r="C378" s="17">
        <v>11265</v>
      </c>
      <c r="D378" s="17">
        <v>15301</v>
      </c>
      <c r="E378" s="17">
        <v>16747</v>
      </c>
      <c r="F378" s="17">
        <f t="shared" si="19"/>
        <v>53741</v>
      </c>
    </row>
    <row r="379" spans="1:6" x14ac:dyDescent="0.25">
      <c r="A379" s="15" t="s">
        <v>107</v>
      </c>
      <c r="B379" s="17">
        <v>19636</v>
      </c>
      <c r="C379" s="17">
        <v>21057</v>
      </c>
      <c r="D379" s="17">
        <v>23136</v>
      </c>
      <c r="E379" s="17">
        <v>26438</v>
      </c>
      <c r="F379" s="17">
        <f t="shared" si="19"/>
        <v>90267</v>
      </c>
    </row>
    <row r="380" spans="1:6" x14ac:dyDescent="0.25">
      <c r="A380" s="15" t="s">
        <v>64</v>
      </c>
      <c r="B380" s="17">
        <v>26580</v>
      </c>
      <c r="C380" s="17">
        <v>22859</v>
      </c>
      <c r="D380" s="17">
        <v>31470</v>
      </c>
      <c r="E380" s="17">
        <v>32519</v>
      </c>
      <c r="F380" s="17">
        <f t="shared" si="19"/>
        <v>113428</v>
      </c>
    </row>
    <row r="381" spans="1:6" x14ac:dyDescent="0.25">
      <c r="A381" s="15" t="s">
        <v>108</v>
      </c>
      <c r="B381" s="34">
        <v>13740</v>
      </c>
      <c r="C381" s="34">
        <v>13622</v>
      </c>
      <c r="D381" s="34">
        <v>17474</v>
      </c>
      <c r="E381" s="34">
        <v>15287</v>
      </c>
      <c r="F381" s="17">
        <f t="shared" si="19"/>
        <v>60123</v>
      </c>
    </row>
    <row r="382" spans="1:6" x14ac:dyDescent="0.25">
      <c r="A382" s="18" t="s">
        <v>65</v>
      </c>
      <c r="B382" s="19">
        <f>SUM(B375:B381)</f>
        <v>93250</v>
      </c>
      <c r="C382" s="19">
        <f>SUM(C375:C381)</f>
        <v>95058</v>
      </c>
      <c r="D382" s="19">
        <f>SUM(D375:D381)</f>
        <v>123437</v>
      </c>
      <c r="E382" s="19">
        <f>SUM(E375:E381)</f>
        <v>130234</v>
      </c>
      <c r="F382" s="19">
        <f>SUM(F375:F381)</f>
        <v>441979</v>
      </c>
    </row>
    <row r="384" spans="1:6" ht="13" x14ac:dyDescent="0.3">
      <c r="B384" s="13" t="str">
        <f>B374</f>
        <v>Q1 FY 16</v>
      </c>
      <c r="C384" s="13" t="str">
        <f>C374</f>
        <v>Q2 FY 16</v>
      </c>
      <c r="D384" s="13" t="str">
        <f>D374</f>
        <v>Q3 FY 16</v>
      </c>
      <c r="E384" s="13" t="str">
        <f>E374</f>
        <v>Q4 FY 16</v>
      </c>
      <c r="F384" s="13" t="str">
        <f>F374</f>
        <v>YTD</v>
      </c>
    </row>
    <row r="385" spans="1:6" x14ac:dyDescent="0.25">
      <c r="A385" s="12" t="s">
        <v>73</v>
      </c>
      <c r="B385" s="19">
        <f>B382+B371</f>
        <v>114452</v>
      </c>
      <c r="C385" s="19">
        <f>C382+C371</f>
        <v>116745</v>
      </c>
      <c r="D385" s="19">
        <f>D382+D371</f>
        <v>150461</v>
      </c>
      <c r="E385" s="19">
        <f>E382+E371</f>
        <v>162427</v>
      </c>
      <c r="F385" s="19">
        <f>F382+F371</f>
        <v>544085</v>
      </c>
    </row>
    <row r="386" spans="1:6" s="14" customFormat="1" x14ac:dyDescent="0.25">
      <c r="A386" s="35"/>
      <c r="B386" s="24"/>
      <c r="C386" s="24"/>
      <c r="D386" s="24"/>
      <c r="E386" s="24"/>
      <c r="F386" s="24"/>
    </row>
    <row r="388" spans="1:6" s="46" customFormat="1" ht="5.25" customHeight="1" x14ac:dyDescent="0.25">
      <c r="A388" s="27"/>
      <c r="B388" s="27"/>
      <c r="C388" s="28"/>
      <c r="D388" s="28"/>
      <c r="E388" s="28"/>
      <c r="F388" s="28"/>
    </row>
    <row r="389" spans="1:6" x14ac:dyDescent="0.25">
      <c r="A389"/>
    </row>
    <row r="390" spans="1:6" x14ac:dyDescent="0.25">
      <c r="A390"/>
    </row>
    <row r="391" spans="1:6" x14ac:dyDescent="0.25">
      <c r="A391"/>
    </row>
    <row r="392" spans="1:6" x14ac:dyDescent="0.25">
      <c r="A392" s="47" t="s">
        <v>120</v>
      </c>
    </row>
    <row r="393" spans="1:6" x14ac:dyDescent="0.25">
      <c r="A393"/>
    </row>
    <row r="394" spans="1:6" ht="13" x14ac:dyDescent="0.3">
      <c r="A394" s="12" t="s">
        <v>33</v>
      </c>
      <c r="B394" s="30" t="s">
        <v>121</v>
      </c>
      <c r="C394" s="30" t="s">
        <v>122</v>
      </c>
      <c r="D394" s="30" t="s">
        <v>123</v>
      </c>
      <c r="E394" s="30" t="s">
        <v>124</v>
      </c>
      <c r="F394" s="30" t="s">
        <v>20</v>
      </c>
    </row>
    <row r="395" spans="1:6" x14ac:dyDescent="0.25">
      <c r="A395" s="15" t="s">
        <v>56</v>
      </c>
      <c r="B395" s="17">
        <v>10298</v>
      </c>
      <c r="C395" s="17">
        <v>10551</v>
      </c>
      <c r="D395" s="17">
        <v>11671</v>
      </c>
      <c r="E395" s="17">
        <v>13401</v>
      </c>
      <c r="F395" s="17">
        <f>B395+C395+D395+E395</f>
        <v>45921</v>
      </c>
    </row>
    <row r="396" spans="1:6" x14ac:dyDescent="0.25">
      <c r="A396" s="15" t="s">
        <v>57</v>
      </c>
      <c r="B396" s="17">
        <v>4318</v>
      </c>
      <c r="C396" s="17">
        <v>3938</v>
      </c>
      <c r="D396" s="17">
        <v>4426</v>
      </c>
      <c r="E396" s="17">
        <v>3650</v>
      </c>
      <c r="F396" s="17">
        <f>B396+C396+D396+E396</f>
        <v>16332</v>
      </c>
    </row>
    <row r="397" spans="1:6" x14ac:dyDescent="0.25">
      <c r="A397" s="15" t="s">
        <v>84</v>
      </c>
      <c r="B397" s="17">
        <v>1175</v>
      </c>
      <c r="C397" s="17">
        <v>577</v>
      </c>
      <c r="D397" s="17">
        <v>158</v>
      </c>
      <c r="E397" s="17">
        <v>168</v>
      </c>
      <c r="F397" s="17">
        <f>B397+C397+D397+E397</f>
        <v>2078</v>
      </c>
    </row>
    <row r="398" spans="1:6" x14ac:dyDescent="0.25">
      <c r="A398" s="15" t="s">
        <v>60</v>
      </c>
      <c r="B398" s="17">
        <v>3793</v>
      </c>
      <c r="C398" s="17">
        <v>2715</v>
      </c>
      <c r="D398" s="17">
        <v>2798</v>
      </c>
      <c r="E398" s="17">
        <v>2859</v>
      </c>
      <c r="F398" s="17">
        <f>B398+C398+D398+E398</f>
        <v>12165</v>
      </c>
    </row>
    <row r="399" spans="1:6" x14ac:dyDescent="0.25">
      <c r="A399" s="18" t="s">
        <v>41</v>
      </c>
      <c r="B399" s="19">
        <f>SUM(B395:B398)</f>
        <v>19584</v>
      </c>
      <c r="C399" s="19">
        <f>SUM(C395:C398)</f>
        <v>17781</v>
      </c>
      <c r="D399" s="19">
        <f>SUM(D395:D398)</f>
        <v>19053</v>
      </c>
      <c r="E399" s="19">
        <f>SUM(E395:E398)</f>
        <v>20078</v>
      </c>
      <c r="F399" s="19">
        <f>SUM(F395:F398)</f>
        <v>76496</v>
      </c>
    </row>
    <row r="402" spans="1:6" ht="13" x14ac:dyDescent="0.3">
      <c r="A402" s="12" t="s">
        <v>72</v>
      </c>
      <c r="B402" s="13" t="str">
        <f>B394</f>
        <v>Q1 FY15</v>
      </c>
      <c r="C402" s="13" t="str">
        <f>C394</f>
        <v>Q2 FY15</v>
      </c>
      <c r="D402" s="13" t="str">
        <f>D394</f>
        <v>Q3 FY15</v>
      </c>
      <c r="E402" s="13" t="str">
        <f>E394</f>
        <v>Q4 FY15</v>
      </c>
      <c r="F402" s="13" t="str">
        <f>F394</f>
        <v>YTD</v>
      </c>
    </row>
    <row r="403" spans="1:6" x14ac:dyDescent="0.25">
      <c r="A403" s="15" t="s">
        <v>27</v>
      </c>
      <c r="B403" s="17">
        <v>4039</v>
      </c>
      <c r="C403" s="17">
        <v>4240</v>
      </c>
      <c r="D403" s="17">
        <v>5363</v>
      </c>
      <c r="E403" s="17">
        <v>6394</v>
      </c>
      <c r="F403" s="17">
        <f t="shared" ref="F403:F409" si="20">B403+C403+D403+E403</f>
        <v>20036</v>
      </c>
    </row>
    <row r="404" spans="1:6" x14ac:dyDescent="0.25">
      <c r="A404" s="15" t="s">
        <v>62</v>
      </c>
      <c r="B404" s="17">
        <v>16259</v>
      </c>
      <c r="C404" s="17">
        <v>12817</v>
      </c>
      <c r="D404" s="17">
        <v>8834</v>
      </c>
      <c r="E404" s="17">
        <v>819</v>
      </c>
      <c r="F404" s="17">
        <f t="shared" si="20"/>
        <v>38729</v>
      </c>
    </row>
    <row r="405" spans="1:6" x14ac:dyDescent="0.25">
      <c r="A405" s="15" t="s">
        <v>63</v>
      </c>
      <c r="B405" s="17"/>
      <c r="C405" s="17"/>
      <c r="D405" s="17">
        <v>29</v>
      </c>
      <c r="E405" s="17">
        <v>13589</v>
      </c>
      <c r="F405" s="17">
        <f t="shared" si="20"/>
        <v>13618</v>
      </c>
    </row>
    <row r="406" spans="1:6" x14ac:dyDescent="0.25">
      <c r="A406" s="15" t="s">
        <v>30</v>
      </c>
      <c r="B406" s="17">
        <v>10173</v>
      </c>
      <c r="C406" s="17">
        <v>10353</v>
      </c>
      <c r="D406" s="17">
        <v>15124</v>
      </c>
      <c r="E406" s="17">
        <v>14951</v>
      </c>
      <c r="F406" s="17">
        <f t="shared" si="20"/>
        <v>50601</v>
      </c>
    </row>
    <row r="407" spans="1:6" x14ac:dyDescent="0.25">
      <c r="A407" s="15" t="s">
        <v>107</v>
      </c>
      <c r="B407" s="17">
        <v>19621</v>
      </c>
      <c r="C407" s="17">
        <v>17988</v>
      </c>
      <c r="D407" s="17">
        <v>22193</v>
      </c>
      <c r="E407" s="17">
        <v>25960</v>
      </c>
      <c r="F407" s="17">
        <f t="shared" si="20"/>
        <v>85762</v>
      </c>
    </row>
    <row r="408" spans="1:6" x14ac:dyDescent="0.25">
      <c r="A408" s="15" t="s">
        <v>64</v>
      </c>
      <c r="B408" s="17">
        <v>31647</v>
      </c>
      <c r="C408" s="17">
        <v>27717</v>
      </c>
      <c r="D408" s="17">
        <v>35252</v>
      </c>
      <c r="E408" s="17">
        <v>25203</v>
      </c>
      <c r="F408" s="17">
        <f t="shared" si="20"/>
        <v>119819</v>
      </c>
    </row>
    <row r="409" spans="1:6" x14ac:dyDescent="0.25">
      <c r="A409" s="15" t="s">
        <v>108</v>
      </c>
      <c r="B409" s="33">
        <v>13833</v>
      </c>
      <c r="C409" s="33">
        <v>13079</v>
      </c>
      <c r="D409" s="33">
        <v>16339</v>
      </c>
      <c r="E409" s="33">
        <v>18167</v>
      </c>
      <c r="F409" s="17">
        <f t="shared" si="20"/>
        <v>61418</v>
      </c>
    </row>
    <row r="410" spans="1:6" x14ac:dyDescent="0.25">
      <c r="A410" s="18" t="s">
        <v>65</v>
      </c>
      <c r="B410" s="19">
        <f>SUM(B403:B409)</f>
        <v>95572</v>
      </c>
      <c r="C410" s="19">
        <f>SUM(C403:C409)</f>
        <v>86194</v>
      </c>
      <c r="D410" s="19">
        <f>SUM(D403:D409)</f>
        <v>103134</v>
      </c>
      <c r="E410" s="19">
        <f>SUM(E403:E409)</f>
        <v>105083</v>
      </c>
      <c r="F410" s="19">
        <f>SUM(F403:F409)</f>
        <v>389983</v>
      </c>
    </row>
    <row r="412" spans="1:6" ht="13" x14ac:dyDescent="0.3">
      <c r="B412" s="13" t="str">
        <f>B402</f>
        <v>Q1 FY15</v>
      </c>
      <c r="C412" s="13" t="str">
        <f>C402</f>
        <v>Q2 FY15</v>
      </c>
      <c r="D412" s="13" t="str">
        <f>D402</f>
        <v>Q3 FY15</v>
      </c>
      <c r="E412" s="13" t="str">
        <f>E402</f>
        <v>Q4 FY15</v>
      </c>
      <c r="F412" s="13" t="str">
        <f>F402</f>
        <v>YTD</v>
      </c>
    </row>
    <row r="413" spans="1:6" x14ac:dyDescent="0.25">
      <c r="A413" s="12" t="s">
        <v>73</v>
      </c>
      <c r="B413" s="19">
        <f>B410+B399</f>
        <v>115156</v>
      </c>
      <c r="C413" s="19">
        <f>C410+C399</f>
        <v>103975</v>
      </c>
      <c r="D413" s="19">
        <f>D410+D399</f>
        <v>122187</v>
      </c>
      <c r="E413" s="19">
        <f>E410+E399</f>
        <v>125161</v>
      </c>
      <c r="F413" s="19">
        <f>F410+F399</f>
        <v>466479</v>
      </c>
    </row>
    <row r="414" spans="1:6" x14ac:dyDescent="0.25">
      <c r="A414"/>
    </row>
    <row r="415" spans="1:6" s="46" customFormat="1" ht="5.25" customHeight="1" x14ac:dyDescent="0.25">
      <c r="A415" s="27"/>
      <c r="B415" s="27"/>
      <c r="C415" s="28"/>
      <c r="D415" s="28"/>
      <c r="E415" s="28"/>
      <c r="F415" s="28"/>
    </row>
    <row r="416" spans="1:6" s="50" customFormat="1" ht="18.75" customHeight="1" x14ac:dyDescent="0.25">
      <c r="A416" s="48"/>
      <c r="B416" s="48"/>
      <c r="C416" s="49"/>
      <c r="D416" s="49"/>
      <c r="E416" s="49"/>
      <c r="F416" s="49"/>
    </row>
    <row r="417" spans="1:6" x14ac:dyDescent="0.25">
      <c r="A417" s="9" t="s">
        <v>13</v>
      </c>
    </row>
    <row r="418" spans="1:6" x14ac:dyDescent="0.25">
      <c r="A418"/>
    </row>
    <row r="419" spans="1:6" x14ac:dyDescent="0.25">
      <c r="A419" s="47" t="s">
        <v>125</v>
      </c>
    </row>
    <row r="420" spans="1:6" x14ac:dyDescent="0.25">
      <c r="A420"/>
    </row>
    <row r="421" spans="1:6" ht="13" x14ac:dyDescent="0.3">
      <c r="A421" s="12" t="s">
        <v>33</v>
      </c>
      <c r="B421" s="30" t="s">
        <v>126</v>
      </c>
      <c r="C421" s="30" t="s">
        <v>127</v>
      </c>
      <c r="D421" s="30" t="s">
        <v>128</v>
      </c>
      <c r="E421" s="13" t="s">
        <v>129</v>
      </c>
      <c r="F421" s="13" t="s">
        <v>130</v>
      </c>
    </row>
    <row r="422" spans="1:6" x14ac:dyDescent="0.25">
      <c r="A422" s="15" t="s">
        <v>56</v>
      </c>
      <c r="B422" s="17">
        <v>9979</v>
      </c>
      <c r="C422" s="17">
        <v>10723</v>
      </c>
      <c r="D422" s="17">
        <v>12112</v>
      </c>
      <c r="E422" s="17">
        <v>13848</v>
      </c>
      <c r="F422" s="51">
        <f>SUM(B422:E422)</f>
        <v>46662</v>
      </c>
    </row>
    <row r="423" spans="1:6" x14ac:dyDescent="0.25">
      <c r="A423" s="15" t="s">
        <v>57</v>
      </c>
      <c r="B423" s="17">
        <v>4784</v>
      </c>
      <c r="C423" s="17">
        <v>4124</v>
      </c>
      <c r="D423" s="17">
        <v>5271</v>
      </c>
      <c r="E423" s="17">
        <v>5092</v>
      </c>
      <c r="F423" s="51">
        <f>SUM(B423:E423)</f>
        <v>19271</v>
      </c>
    </row>
    <row r="424" spans="1:6" x14ac:dyDescent="0.25">
      <c r="A424" s="15" t="s">
        <v>84</v>
      </c>
      <c r="B424" s="17">
        <v>657</v>
      </c>
      <c r="C424" s="17">
        <v>688</v>
      </c>
      <c r="D424" s="17">
        <v>857</v>
      </c>
      <c r="E424" s="17">
        <v>1043</v>
      </c>
      <c r="F424" s="51">
        <f>SUM(B424:E424)</f>
        <v>3245</v>
      </c>
    </row>
    <row r="425" spans="1:6" x14ac:dyDescent="0.25">
      <c r="A425" s="15" t="s">
        <v>60</v>
      </c>
      <c r="B425" s="17">
        <v>3157</v>
      </c>
      <c r="C425" s="17">
        <v>3299</v>
      </c>
      <c r="D425" s="17">
        <v>2132</v>
      </c>
      <c r="E425" s="33">
        <v>1541</v>
      </c>
      <c r="F425" s="51">
        <f>SUM(B425:E425)</f>
        <v>10129</v>
      </c>
    </row>
    <row r="426" spans="1:6" x14ac:dyDescent="0.25">
      <c r="A426" s="18" t="s">
        <v>41</v>
      </c>
      <c r="B426" s="19">
        <f>SUM(B422:B425)</f>
        <v>18577</v>
      </c>
      <c r="C426" s="19">
        <f>SUM(C422:C425)</f>
        <v>18834</v>
      </c>
      <c r="D426" s="19">
        <f>SUM(D422:D425)</f>
        <v>20372</v>
      </c>
      <c r="E426" s="19">
        <f>SUM(E422:E425)</f>
        <v>21524</v>
      </c>
      <c r="F426" s="19">
        <f>SUM(F422:F425)</f>
        <v>79307</v>
      </c>
    </row>
    <row r="429" spans="1:6" ht="13" x14ac:dyDescent="0.3">
      <c r="A429" s="12" t="s">
        <v>72</v>
      </c>
      <c r="B429" s="13" t="str">
        <f>B421</f>
        <v>Q1 FY14</v>
      </c>
      <c r="C429" s="13" t="str">
        <f>C421</f>
        <v>Q2 FY14</v>
      </c>
      <c r="D429" s="13" t="str">
        <f>D421</f>
        <v>Q3 FY14</v>
      </c>
      <c r="E429" s="13" t="str">
        <f>E421</f>
        <v>Q4 FY14</v>
      </c>
      <c r="F429" s="13" t="str">
        <f>F421</f>
        <v>FY 14</v>
      </c>
    </row>
    <row r="430" spans="1:6" x14ac:dyDescent="0.25">
      <c r="A430" s="15" t="s">
        <v>27</v>
      </c>
      <c r="B430" s="17">
        <v>3362</v>
      </c>
      <c r="C430" s="17">
        <v>4338</v>
      </c>
      <c r="D430" s="17">
        <v>4503</v>
      </c>
      <c r="E430" s="17">
        <v>4476</v>
      </c>
      <c r="F430" s="51">
        <f t="shared" ref="F430:F437" si="21">SUM(B430:E430)</f>
        <v>16679</v>
      </c>
    </row>
    <row r="431" spans="1:6" x14ac:dyDescent="0.25">
      <c r="A431" s="15" t="s">
        <v>62</v>
      </c>
      <c r="B431" s="17">
        <v>13420</v>
      </c>
      <c r="C431" s="17">
        <v>13325</v>
      </c>
      <c r="D431" s="17">
        <v>13613</v>
      </c>
      <c r="E431" s="17">
        <v>16354</v>
      </c>
      <c r="F431" s="51">
        <f t="shared" si="21"/>
        <v>56712</v>
      </c>
    </row>
    <row r="432" spans="1:6" x14ac:dyDescent="0.25">
      <c r="A432" s="15" t="s">
        <v>30</v>
      </c>
      <c r="B432" s="17">
        <v>11232</v>
      </c>
      <c r="C432" s="17">
        <v>12424</v>
      </c>
      <c r="D432" s="17">
        <v>9073</v>
      </c>
      <c r="E432" s="17">
        <v>11614</v>
      </c>
      <c r="F432" s="51">
        <f t="shared" si="21"/>
        <v>44343</v>
      </c>
    </row>
    <row r="433" spans="1:6" x14ac:dyDescent="0.25">
      <c r="A433" s="15" t="s">
        <v>107</v>
      </c>
      <c r="B433" s="17">
        <v>7</v>
      </c>
      <c r="C433" s="17">
        <v>12530</v>
      </c>
      <c r="D433" s="17">
        <v>22400</v>
      </c>
      <c r="E433" s="17">
        <v>22292</v>
      </c>
      <c r="F433" s="51">
        <f t="shared" si="21"/>
        <v>57229</v>
      </c>
    </row>
    <row r="434" spans="1:6" x14ac:dyDescent="0.25">
      <c r="A434" s="15" t="s">
        <v>22</v>
      </c>
      <c r="B434" s="17">
        <v>6653</v>
      </c>
      <c r="C434" s="17">
        <v>1305</v>
      </c>
      <c r="D434" s="17">
        <v>557</v>
      </c>
      <c r="E434" s="17">
        <v>379</v>
      </c>
      <c r="F434" s="51">
        <f t="shared" si="21"/>
        <v>8894</v>
      </c>
    </row>
    <row r="435" spans="1:6" x14ac:dyDescent="0.25">
      <c r="A435" s="15" t="s">
        <v>21</v>
      </c>
      <c r="B435" s="17">
        <v>125</v>
      </c>
      <c r="C435" s="17">
        <v>151</v>
      </c>
      <c r="D435" s="17">
        <v>81</v>
      </c>
      <c r="E435" s="17">
        <v>52</v>
      </c>
      <c r="F435" s="51">
        <f t="shared" si="21"/>
        <v>409</v>
      </c>
    </row>
    <row r="436" spans="1:6" x14ac:dyDescent="0.25">
      <c r="A436" s="15" t="s">
        <v>64</v>
      </c>
      <c r="B436" s="17">
        <v>27030</v>
      </c>
      <c r="C436" s="17">
        <v>29717</v>
      </c>
      <c r="D436" s="17">
        <v>32563</v>
      </c>
      <c r="E436" s="17">
        <v>31601</v>
      </c>
      <c r="F436" s="51">
        <f t="shared" si="21"/>
        <v>120911</v>
      </c>
    </row>
    <row r="437" spans="1:6" x14ac:dyDescent="0.25">
      <c r="A437" s="15" t="s">
        <v>108</v>
      </c>
      <c r="B437" s="33">
        <v>10214</v>
      </c>
      <c r="C437" s="33">
        <v>9307</v>
      </c>
      <c r="D437" s="33">
        <v>13195</v>
      </c>
      <c r="E437" s="34">
        <v>12661</v>
      </c>
      <c r="F437" s="51">
        <f t="shared" si="21"/>
        <v>45377</v>
      </c>
    </row>
    <row r="438" spans="1:6" x14ac:dyDescent="0.25">
      <c r="A438" s="18" t="s">
        <v>65</v>
      </c>
      <c r="B438" s="19">
        <f>SUM(B430:B437)</f>
        <v>72043</v>
      </c>
      <c r="C438" s="19">
        <f>SUM(C430:C437)</f>
        <v>83097</v>
      </c>
      <c r="D438" s="19">
        <f>SUM(D430:D437)</f>
        <v>95985</v>
      </c>
      <c r="E438" s="19">
        <f>SUM(E430:E437)</f>
        <v>99429</v>
      </c>
      <c r="F438" s="19">
        <f>SUM(F430:F437)</f>
        <v>350554</v>
      </c>
    </row>
    <row r="440" spans="1:6" ht="13" x14ac:dyDescent="0.3">
      <c r="B440" s="13" t="str">
        <f>B429</f>
        <v>Q1 FY14</v>
      </c>
      <c r="C440" s="13" t="str">
        <f>C429</f>
        <v>Q2 FY14</v>
      </c>
      <c r="D440" s="13" t="str">
        <f>D429</f>
        <v>Q3 FY14</v>
      </c>
      <c r="E440" s="13" t="str">
        <f>E429</f>
        <v>Q4 FY14</v>
      </c>
      <c r="F440" s="13" t="str">
        <f>F429</f>
        <v>FY 14</v>
      </c>
    </row>
    <row r="441" spans="1:6" x14ac:dyDescent="0.25">
      <c r="A441" s="12" t="s">
        <v>73</v>
      </c>
      <c r="B441" s="19">
        <f>B438+B426</f>
        <v>90620</v>
      </c>
      <c r="C441" s="19">
        <f>C438+C426</f>
        <v>101931</v>
      </c>
      <c r="D441" s="19">
        <f>D438+D426</f>
        <v>116357</v>
      </c>
      <c r="E441" s="19">
        <f>E438+E426</f>
        <v>120953</v>
      </c>
      <c r="F441" s="19">
        <f>F438+F426</f>
        <v>429861</v>
      </c>
    </row>
    <row r="442" spans="1:6" x14ac:dyDescent="0.25">
      <c r="A442"/>
    </row>
    <row r="443" spans="1:6" x14ac:dyDescent="0.25">
      <c r="A443"/>
    </row>
    <row r="444" spans="1:6" x14ac:dyDescent="0.25">
      <c r="A444"/>
    </row>
    <row r="445" spans="1:6" s="46" customFormat="1" ht="5.25" customHeight="1" x14ac:dyDescent="0.25">
      <c r="A445" s="27"/>
      <c r="B445" s="27"/>
      <c r="C445" s="28"/>
      <c r="D445" s="28"/>
      <c r="E445" s="28"/>
      <c r="F445" s="28"/>
    </row>
    <row r="446" spans="1:6" x14ac:dyDescent="0.25">
      <c r="A446" s="25"/>
    </row>
    <row r="447" spans="1:6" ht="13" x14ac:dyDescent="0.3">
      <c r="A447" s="11" t="s">
        <v>131</v>
      </c>
    </row>
    <row r="448" spans="1:6" ht="13" x14ac:dyDescent="0.3">
      <c r="A448" s="29"/>
    </row>
    <row r="449" spans="1:6" ht="13" x14ac:dyDescent="0.3">
      <c r="A449" s="12" t="s">
        <v>33</v>
      </c>
      <c r="B449" s="13" t="s">
        <v>132</v>
      </c>
      <c r="C449" s="13" t="s">
        <v>133</v>
      </c>
      <c r="D449" s="13" t="s">
        <v>134</v>
      </c>
      <c r="E449" s="13" t="s">
        <v>135</v>
      </c>
      <c r="F449" s="30" t="s">
        <v>136</v>
      </c>
    </row>
    <row r="450" spans="1:6" x14ac:dyDescent="0.25">
      <c r="A450" s="15" t="s">
        <v>56</v>
      </c>
      <c r="B450" s="17">
        <v>7388</v>
      </c>
      <c r="C450" s="33">
        <v>6671</v>
      </c>
      <c r="D450" s="33">
        <v>9425</v>
      </c>
      <c r="E450" s="33">
        <v>14819</v>
      </c>
      <c r="F450" s="51">
        <f>SUM(B450:E450)</f>
        <v>38303</v>
      </c>
    </row>
    <row r="451" spans="1:6" x14ac:dyDescent="0.25">
      <c r="A451" s="15" t="s">
        <v>57</v>
      </c>
      <c r="B451" s="17">
        <v>3585</v>
      </c>
      <c r="C451" s="33">
        <v>2090</v>
      </c>
      <c r="D451" s="33">
        <v>4378</v>
      </c>
      <c r="E451" s="33">
        <v>5650</v>
      </c>
      <c r="F451" s="51">
        <f>SUM(B451:E451)</f>
        <v>15703</v>
      </c>
    </row>
    <row r="452" spans="1:6" x14ac:dyDescent="0.25">
      <c r="A452" s="15" t="s">
        <v>84</v>
      </c>
      <c r="B452" s="17">
        <v>800</v>
      </c>
      <c r="C452" s="33">
        <v>1071</v>
      </c>
      <c r="D452" s="33">
        <v>1240</v>
      </c>
      <c r="E452" s="33">
        <v>681</v>
      </c>
      <c r="F452" s="51">
        <f>SUM(B452:E452)</f>
        <v>3792</v>
      </c>
    </row>
    <row r="453" spans="1:6" x14ac:dyDescent="0.25">
      <c r="A453" s="15" t="s">
        <v>137</v>
      </c>
      <c r="B453" s="17">
        <v>1</v>
      </c>
      <c r="C453" s="33">
        <v>0</v>
      </c>
      <c r="D453" s="33">
        <v>0</v>
      </c>
      <c r="E453" s="33">
        <v>13</v>
      </c>
      <c r="F453" s="51">
        <f>SUM(B453:E453)</f>
        <v>14</v>
      </c>
    </row>
    <row r="454" spans="1:6" x14ac:dyDescent="0.25">
      <c r="A454" s="18" t="s">
        <v>41</v>
      </c>
      <c r="B454" s="19">
        <f>SUM(B450:B453)</f>
        <v>11774</v>
      </c>
      <c r="C454" s="19">
        <f>SUM(C450:C453)</f>
        <v>9832</v>
      </c>
      <c r="D454" s="19">
        <f>SUM(D450:D453)</f>
        <v>15043</v>
      </c>
      <c r="E454" s="19">
        <f>SUM(E450:E453)</f>
        <v>21163</v>
      </c>
      <c r="F454" s="19">
        <f>SUM(F450:F453)</f>
        <v>57812</v>
      </c>
    </row>
    <row r="457" spans="1:6" ht="13" x14ac:dyDescent="0.3">
      <c r="A457" s="12" t="s">
        <v>72</v>
      </c>
      <c r="B457" s="13" t="s">
        <v>132</v>
      </c>
      <c r="C457" s="13" t="s">
        <v>133</v>
      </c>
      <c r="D457" s="13" t="s">
        <v>134</v>
      </c>
      <c r="E457" s="13" t="s">
        <v>135</v>
      </c>
      <c r="F457" s="30" t="s">
        <v>136</v>
      </c>
    </row>
    <row r="458" spans="1:6" x14ac:dyDescent="0.25">
      <c r="A458" s="15" t="s">
        <v>27</v>
      </c>
      <c r="B458" s="17">
        <v>3389</v>
      </c>
      <c r="C458" s="33">
        <v>3601</v>
      </c>
      <c r="D458" s="33">
        <v>4099</v>
      </c>
      <c r="E458" s="33">
        <v>4229</v>
      </c>
      <c r="F458" s="51">
        <f t="shared" ref="F458:F464" si="22">SUM(B458:E458)</f>
        <v>15318</v>
      </c>
    </row>
    <row r="459" spans="1:6" x14ac:dyDescent="0.25">
      <c r="A459" s="15" t="s">
        <v>62</v>
      </c>
      <c r="B459" s="17">
        <v>11243</v>
      </c>
      <c r="C459" s="33">
        <v>10401</v>
      </c>
      <c r="D459" s="33">
        <v>15006</v>
      </c>
      <c r="E459" s="33">
        <v>15336</v>
      </c>
      <c r="F459" s="51">
        <f t="shared" si="22"/>
        <v>51986</v>
      </c>
    </row>
    <row r="460" spans="1:6" x14ac:dyDescent="0.25">
      <c r="A460" s="15" t="s">
        <v>30</v>
      </c>
      <c r="B460" s="17">
        <v>10047</v>
      </c>
      <c r="C460" s="33">
        <v>10869</v>
      </c>
      <c r="D460" s="33">
        <v>10663</v>
      </c>
      <c r="E460" s="33">
        <v>12234</v>
      </c>
      <c r="F460" s="51">
        <f t="shared" si="22"/>
        <v>43813</v>
      </c>
    </row>
    <row r="461" spans="1:6" x14ac:dyDescent="0.25">
      <c r="A461" s="15" t="s">
        <v>22</v>
      </c>
      <c r="B461" s="17">
        <v>12414</v>
      </c>
      <c r="C461" s="33">
        <v>14963</v>
      </c>
      <c r="D461" s="33">
        <v>13608</v>
      </c>
      <c r="E461" s="33">
        <v>15723</v>
      </c>
      <c r="F461" s="51">
        <f t="shared" si="22"/>
        <v>56708</v>
      </c>
    </row>
    <row r="462" spans="1:6" x14ac:dyDescent="0.25">
      <c r="A462" s="15" t="s">
        <v>21</v>
      </c>
      <c r="B462" s="17">
        <v>7378</v>
      </c>
      <c r="C462" s="33">
        <v>4422</v>
      </c>
      <c r="D462" s="33">
        <v>1856</v>
      </c>
      <c r="E462" s="33">
        <v>273</v>
      </c>
      <c r="F462" s="51">
        <f t="shared" si="22"/>
        <v>13929</v>
      </c>
    </row>
    <row r="463" spans="1:6" x14ac:dyDescent="0.25">
      <c r="A463" s="15" t="s">
        <v>64</v>
      </c>
      <c r="B463" s="17">
        <v>27207</v>
      </c>
      <c r="C463" s="33">
        <v>23340</v>
      </c>
      <c r="D463" s="33">
        <v>31388</v>
      </c>
      <c r="E463" s="33">
        <v>34356</v>
      </c>
      <c r="F463" s="51">
        <f t="shared" si="22"/>
        <v>116291</v>
      </c>
    </row>
    <row r="464" spans="1:6" x14ac:dyDescent="0.25">
      <c r="A464" s="15" t="s">
        <v>108</v>
      </c>
      <c r="B464" s="33">
        <v>0</v>
      </c>
      <c r="C464" s="33">
        <v>14</v>
      </c>
      <c r="D464" s="33">
        <v>3165</v>
      </c>
      <c r="E464" s="33">
        <v>13026</v>
      </c>
      <c r="F464" s="51">
        <f t="shared" si="22"/>
        <v>16205</v>
      </c>
    </row>
    <row r="465" spans="1:6" x14ac:dyDescent="0.25">
      <c r="A465" s="18" t="s">
        <v>65</v>
      </c>
      <c r="B465" s="19">
        <f>SUM(B458:B464)</f>
        <v>71678</v>
      </c>
      <c r="C465" s="19">
        <f>SUM(C458:C464)</f>
        <v>67610</v>
      </c>
      <c r="D465" s="19">
        <f>SUM(D458:D464)</f>
        <v>79785</v>
      </c>
      <c r="E465" s="19">
        <f>SUM(E458:E464)</f>
        <v>95177</v>
      </c>
      <c r="F465" s="19">
        <f>SUM(F458:F464)</f>
        <v>314250</v>
      </c>
    </row>
    <row r="466" spans="1:6" x14ac:dyDescent="0.25">
      <c r="E466" s="31"/>
    </row>
    <row r="467" spans="1:6" ht="13" x14ac:dyDescent="0.3">
      <c r="B467" s="13" t="s">
        <v>132</v>
      </c>
      <c r="C467" s="13" t="s">
        <v>133</v>
      </c>
      <c r="D467" s="13" t="s">
        <v>134</v>
      </c>
      <c r="E467" s="13" t="s">
        <v>135</v>
      </c>
      <c r="F467" s="30" t="s">
        <v>136</v>
      </c>
    </row>
    <row r="468" spans="1:6" ht="12.75" customHeight="1" x14ac:dyDescent="0.25">
      <c r="A468" s="12" t="s">
        <v>73</v>
      </c>
      <c r="B468" s="19">
        <f>B454+B465</f>
        <v>83452</v>
      </c>
      <c r="C468" s="19">
        <f>C465+C454</f>
        <v>77442</v>
      </c>
      <c r="D468" s="19">
        <f>D465+D454</f>
        <v>94828</v>
      </c>
      <c r="E468" s="19">
        <f>E465+E454</f>
        <v>116340</v>
      </c>
      <c r="F468" s="19">
        <f>F465+F454</f>
        <v>372062</v>
      </c>
    </row>
    <row r="469" spans="1:6" x14ac:dyDescent="0.25">
      <c r="A469" s="25"/>
    </row>
    <row r="470" spans="1:6" s="46" customFormat="1" ht="5.25" customHeight="1" x14ac:dyDescent="0.25">
      <c r="A470" s="27"/>
      <c r="B470" s="27"/>
      <c r="C470" s="28"/>
      <c r="D470" s="28"/>
      <c r="E470" s="28"/>
      <c r="F470" s="28"/>
    </row>
    <row r="471" spans="1:6" x14ac:dyDescent="0.25">
      <c r="A471" s="25"/>
    </row>
    <row r="472" spans="1:6" x14ac:dyDescent="0.25">
      <c r="A472" s="25"/>
    </row>
    <row r="473" spans="1:6" ht="13" x14ac:dyDescent="0.3">
      <c r="A473" s="11" t="s">
        <v>138</v>
      </c>
    </row>
    <row r="474" spans="1:6" ht="13" x14ac:dyDescent="0.3">
      <c r="A474" s="29"/>
    </row>
    <row r="475" spans="1:6" ht="13" x14ac:dyDescent="0.3">
      <c r="A475" s="12" t="s">
        <v>33</v>
      </c>
      <c r="B475" s="13" t="s">
        <v>139</v>
      </c>
      <c r="C475" s="13" t="s">
        <v>140</v>
      </c>
      <c r="D475" s="13" t="s">
        <v>141</v>
      </c>
      <c r="E475" s="13" t="s">
        <v>142</v>
      </c>
      <c r="F475" s="13" t="s">
        <v>143</v>
      </c>
    </row>
    <row r="476" spans="1:6" x14ac:dyDescent="0.25">
      <c r="A476" s="15" t="s">
        <v>56</v>
      </c>
      <c r="B476" s="17">
        <v>6449</v>
      </c>
      <c r="C476" s="17">
        <v>8567</v>
      </c>
      <c r="D476" s="17">
        <v>9454</v>
      </c>
      <c r="E476" s="17">
        <v>9181</v>
      </c>
      <c r="F476" s="51">
        <f>SUM(B476:E476)</f>
        <v>33651</v>
      </c>
    </row>
    <row r="477" spans="1:6" x14ac:dyDescent="0.25">
      <c r="A477" s="15" t="s">
        <v>57</v>
      </c>
      <c r="B477" s="17">
        <v>3726</v>
      </c>
      <c r="C477" s="17">
        <v>3441</v>
      </c>
      <c r="D477" s="17">
        <v>4541</v>
      </c>
      <c r="E477" s="17">
        <v>4135</v>
      </c>
      <c r="F477" s="51">
        <f>SUM(B477:E477)</f>
        <v>15843</v>
      </c>
    </row>
    <row r="478" spans="1:6" x14ac:dyDescent="0.25">
      <c r="A478" s="15" t="s">
        <v>84</v>
      </c>
      <c r="B478" s="17">
        <v>1161</v>
      </c>
      <c r="C478" s="17">
        <v>1294</v>
      </c>
      <c r="D478" s="17">
        <v>1272</v>
      </c>
      <c r="E478" s="17">
        <v>800</v>
      </c>
      <c r="F478" s="51">
        <f>SUM(B478:E478)</f>
        <v>4527</v>
      </c>
    </row>
    <row r="479" spans="1:6" s="52" customFormat="1" ht="13" x14ac:dyDescent="0.3">
      <c r="A479" s="15" t="s">
        <v>85</v>
      </c>
      <c r="B479" s="17">
        <v>7</v>
      </c>
      <c r="C479" s="17">
        <v>4</v>
      </c>
      <c r="D479" s="17">
        <v>5</v>
      </c>
      <c r="E479" s="17">
        <v>2</v>
      </c>
      <c r="F479" s="51">
        <f>SUM(B479:E479)</f>
        <v>18</v>
      </c>
    </row>
    <row r="480" spans="1:6" x14ac:dyDescent="0.25">
      <c r="A480" s="18" t="s">
        <v>41</v>
      </c>
      <c r="B480" s="19">
        <f>SUM(B476:B479)</f>
        <v>11343</v>
      </c>
      <c r="C480" s="19">
        <f>SUM(C476:C479)</f>
        <v>13306</v>
      </c>
      <c r="D480" s="19">
        <f>SUM(D476:D479)</f>
        <v>15272</v>
      </c>
      <c r="E480" s="19">
        <f>SUM(E476:E479)</f>
        <v>14118</v>
      </c>
      <c r="F480" s="19">
        <f>SUM(F476:F479)</f>
        <v>54039</v>
      </c>
    </row>
    <row r="482" spans="1:6" ht="13" x14ac:dyDescent="0.3">
      <c r="A482" s="12" t="s">
        <v>72</v>
      </c>
      <c r="B482" s="13" t="s">
        <v>139</v>
      </c>
      <c r="C482" s="13" t="s">
        <v>140</v>
      </c>
      <c r="D482" s="13" t="s">
        <v>141</v>
      </c>
      <c r="E482" s="13" t="s">
        <v>142</v>
      </c>
      <c r="F482" s="13" t="s">
        <v>143</v>
      </c>
    </row>
    <row r="483" spans="1:6" x14ac:dyDescent="0.25">
      <c r="A483" s="15" t="s">
        <v>27</v>
      </c>
      <c r="B483" s="17">
        <v>4683</v>
      </c>
      <c r="C483" s="17">
        <v>5116</v>
      </c>
      <c r="D483" s="17">
        <v>4667</v>
      </c>
      <c r="E483" s="17">
        <v>4824</v>
      </c>
      <c r="F483" s="51">
        <f t="shared" ref="F483:F488" si="23">SUM(B483:E483)</f>
        <v>19290</v>
      </c>
    </row>
    <row r="484" spans="1:6" x14ac:dyDescent="0.25">
      <c r="A484" s="15" t="s">
        <v>62</v>
      </c>
      <c r="B484" s="17">
        <v>12320</v>
      </c>
      <c r="C484" s="17">
        <v>12296</v>
      </c>
      <c r="D484" s="17">
        <v>9314</v>
      </c>
      <c r="E484" s="17">
        <v>13047</v>
      </c>
      <c r="F484" s="51">
        <f t="shared" si="23"/>
        <v>46977</v>
      </c>
    </row>
    <row r="485" spans="1:6" x14ac:dyDescent="0.25">
      <c r="A485" s="15" t="s">
        <v>30</v>
      </c>
      <c r="B485" s="17">
        <v>11440</v>
      </c>
      <c r="C485" s="17">
        <v>10679</v>
      </c>
      <c r="D485" s="17">
        <v>11122</v>
      </c>
      <c r="E485" s="17">
        <v>13225</v>
      </c>
      <c r="F485" s="51">
        <f t="shared" si="23"/>
        <v>46466</v>
      </c>
    </row>
    <row r="486" spans="1:6" x14ac:dyDescent="0.25">
      <c r="A486" s="15" t="s">
        <v>22</v>
      </c>
      <c r="B486" s="17">
        <v>14367</v>
      </c>
      <c r="C486" s="17">
        <v>12273</v>
      </c>
      <c r="D486" s="17">
        <v>14087</v>
      </c>
      <c r="E486" s="17">
        <v>15508</v>
      </c>
      <c r="F486" s="51">
        <f t="shared" si="23"/>
        <v>56235</v>
      </c>
    </row>
    <row r="487" spans="1:6" x14ac:dyDescent="0.25">
      <c r="A487" s="15" t="s">
        <v>21</v>
      </c>
      <c r="B487" s="17">
        <v>7935</v>
      </c>
      <c r="C487" s="17">
        <v>6558</v>
      </c>
      <c r="D487" s="17">
        <v>7583</v>
      </c>
      <c r="E487" s="17">
        <v>9133</v>
      </c>
      <c r="F487" s="51">
        <f t="shared" si="23"/>
        <v>31209</v>
      </c>
    </row>
    <row r="488" spans="1:6" x14ac:dyDescent="0.25">
      <c r="A488" s="15" t="s">
        <v>64</v>
      </c>
      <c r="B488" s="17">
        <v>2</v>
      </c>
      <c r="C488" s="17">
        <v>7772</v>
      </c>
      <c r="D488" s="17">
        <v>24277</v>
      </c>
      <c r="E488" s="17">
        <v>28166</v>
      </c>
      <c r="F488" s="51">
        <f t="shared" si="23"/>
        <v>60217</v>
      </c>
    </row>
    <row r="489" spans="1:6" x14ac:dyDescent="0.25">
      <c r="A489" s="18" t="s">
        <v>65</v>
      </c>
      <c r="B489" s="19">
        <f>SUM(B483:B488)</f>
        <v>50747</v>
      </c>
      <c r="C489" s="19">
        <f>SUM(C483:C488)</f>
        <v>54694</v>
      </c>
      <c r="D489" s="19">
        <f>SUM(D483:D488)</f>
        <v>71050</v>
      </c>
      <c r="E489" s="19">
        <f>SUM(E483:E488)</f>
        <v>83903</v>
      </c>
      <c r="F489" s="19">
        <f>SUM(F483:F488)</f>
        <v>260394</v>
      </c>
    </row>
    <row r="491" spans="1:6" ht="13" x14ac:dyDescent="0.3">
      <c r="B491" s="13" t="s">
        <v>139</v>
      </c>
      <c r="C491" s="13" t="s">
        <v>140</v>
      </c>
      <c r="D491" s="13" t="s">
        <v>141</v>
      </c>
      <c r="E491" s="13" t="s">
        <v>142</v>
      </c>
      <c r="F491" s="13" t="s">
        <v>143</v>
      </c>
    </row>
    <row r="492" spans="1:6" ht="18" customHeight="1" x14ac:dyDescent="0.25">
      <c r="A492" s="12" t="s">
        <v>73</v>
      </c>
      <c r="B492" s="19">
        <f>B489+B480</f>
        <v>62090</v>
      </c>
      <c r="C492" s="19">
        <f>C489+C480</f>
        <v>68000</v>
      </c>
      <c r="D492" s="19">
        <f>D489+D480</f>
        <v>86322</v>
      </c>
      <c r="E492" s="19">
        <f>E489+E480</f>
        <v>98021</v>
      </c>
      <c r="F492" s="19">
        <f>F489+F480</f>
        <v>314433</v>
      </c>
    </row>
    <row r="494" spans="1:6" s="46" customFormat="1" ht="5.25" customHeight="1" x14ac:dyDescent="0.25">
      <c r="A494" s="27"/>
      <c r="B494" s="27"/>
      <c r="C494" s="28"/>
      <c r="D494" s="28"/>
      <c r="E494" s="28"/>
      <c r="F494" s="28"/>
    </row>
    <row r="495" spans="1:6" x14ac:dyDescent="0.25">
      <c r="A495" s="25"/>
    </row>
    <row r="496" spans="1:6" x14ac:dyDescent="0.25">
      <c r="A496" s="25"/>
    </row>
    <row r="497" spans="1:6" ht="13" x14ac:dyDescent="0.3">
      <c r="A497" s="11" t="s">
        <v>144</v>
      </c>
    </row>
    <row r="498" spans="1:6" ht="13" x14ac:dyDescent="0.3">
      <c r="A498" s="29"/>
    </row>
    <row r="499" spans="1:6" ht="13" x14ac:dyDescent="0.3">
      <c r="A499" s="12" t="s">
        <v>33</v>
      </c>
      <c r="B499" s="13" t="s">
        <v>145</v>
      </c>
      <c r="C499" s="13" t="s">
        <v>146</v>
      </c>
      <c r="D499" s="13" t="s">
        <v>147</v>
      </c>
      <c r="E499" s="13" t="s">
        <v>148</v>
      </c>
      <c r="F499" s="13" t="s">
        <v>149</v>
      </c>
    </row>
    <row r="500" spans="1:6" x14ac:dyDescent="0.25">
      <c r="A500" s="15" t="s">
        <v>56</v>
      </c>
      <c r="B500" s="17">
        <v>9528</v>
      </c>
      <c r="C500" s="17">
        <v>8360</v>
      </c>
      <c r="D500" s="17">
        <v>7595</v>
      </c>
      <c r="E500" s="17">
        <v>5987</v>
      </c>
      <c r="F500" s="51">
        <f>SUM(B500:E500)</f>
        <v>31470</v>
      </c>
    </row>
    <row r="501" spans="1:6" x14ac:dyDescent="0.25">
      <c r="A501" s="15" t="s">
        <v>150</v>
      </c>
      <c r="B501" s="17">
        <v>39</v>
      </c>
      <c r="C501" s="17">
        <v>16</v>
      </c>
      <c r="D501" s="17">
        <v>9</v>
      </c>
      <c r="E501" s="17">
        <v>7</v>
      </c>
      <c r="F501" s="51">
        <f>SUM(B501:E501)</f>
        <v>71</v>
      </c>
    </row>
    <row r="502" spans="1:6" x14ac:dyDescent="0.25">
      <c r="A502" s="15" t="s">
        <v>151</v>
      </c>
      <c r="B502" s="17">
        <v>4460</v>
      </c>
      <c r="C502" s="17">
        <v>4249</v>
      </c>
      <c r="D502" s="17">
        <v>4535</v>
      </c>
      <c r="E502" s="17">
        <v>3046</v>
      </c>
      <c r="F502" s="51">
        <f>SUM(B502:E502)</f>
        <v>16290</v>
      </c>
    </row>
    <row r="503" spans="1:6" x14ac:dyDescent="0.25">
      <c r="A503" s="15" t="s">
        <v>84</v>
      </c>
      <c r="B503" s="17">
        <v>1375</v>
      </c>
      <c r="C503" s="17">
        <v>1669</v>
      </c>
      <c r="D503" s="17">
        <v>1023</v>
      </c>
      <c r="E503" s="17">
        <v>990</v>
      </c>
      <c r="F503" s="51">
        <f>SUM(B503:E503)</f>
        <v>5057</v>
      </c>
    </row>
    <row r="504" spans="1:6" s="52" customFormat="1" ht="13" x14ac:dyDescent="0.3">
      <c r="A504" s="15" t="s">
        <v>85</v>
      </c>
      <c r="B504" s="17">
        <v>53</v>
      </c>
      <c r="C504" s="17">
        <v>31</v>
      </c>
      <c r="D504" s="17">
        <v>10</v>
      </c>
      <c r="E504" s="17">
        <v>11</v>
      </c>
      <c r="F504" s="51">
        <f>SUM(B504:E504)</f>
        <v>105</v>
      </c>
    </row>
    <row r="505" spans="1:6" x14ac:dyDescent="0.25">
      <c r="A505" s="18" t="s">
        <v>41</v>
      </c>
      <c r="B505" s="19">
        <f>SUM(B500:B504)</f>
        <v>15455</v>
      </c>
      <c r="C505" s="19">
        <f>SUM(C500:C504)</f>
        <v>14325</v>
      </c>
      <c r="D505" s="19">
        <f>SUM(D500:D504)</f>
        <v>13172</v>
      </c>
      <c r="E505" s="19">
        <f>SUM(E500:E504)</f>
        <v>10041</v>
      </c>
      <c r="F505" s="19">
        <f>SUM(F500:F504)</f>
        <v>52993</v>
      </c>
    </row>
    <row r="507" spans="1:6" ht="13" x14ac:dyDescent="0.3">
      <c r="A507" s="12" t="s">
        <v>72</v>
      </c>
      <c r="B507" s="13" t="s">
        <v>145</v>
      </c>
      <c r="C507" s="13" t="s">
        <v>146</v>
      </c>
      <c r="D507" s="13" t="s">
        <v>147</v>
      </c>
      <c r="E507" s="13" t="s">
        <v>148</v>
      </c>
      <c r="F507" s="13" t="s">
        <v>149</v>
      </c>
    </row>
    <row r="508" spans="1:6" x14ac:dyDescent="0.25">
      <c r="A508" s="15" t="s">
        <v>27</v>
      </c>
      <c r="B508" s="17">
        <v>4370</v>
      </c>
      <c r="C508" s="17">
        <v>3766</v>
      </c>
      <c r="D508" s="17">
        <v>4909</v>
      </c>
      <c r="E508" s="17">
        <v>4853</v>
      </c>
      <c r="F508" s="51">
        <f>SUM(B508:E508)</f>
        <v>17898</v>
      </c>
    </row>
    <row r="509" spans="1:6" x14ac:dyDescent="0.25">
      <c r="A509" s="15" t="s">
        <v>62</v>
      </c>
      <c r="B509" s="17">
        <v>12839</v>
      </c>
      <c r="C509" s="17">
        <v>13122</v>
      </c>
      <c r="D509" s="17">
        <v>14415</v>
      </c>
      <c r="E509" s="17">
        <v>16655</v>
      </c>
      <c r="F509" s="51">
        <f>SUM(B509:E509)</f>
        <v>57031</v>
      </c>
    </row>
    <row r="510" spans="1:6" x14ac:dyDescent="0.25">
      <c r="A510" s="15" t="s">
        <v>30</v>
      </c>
      <c r="B510" s="17">
        <v>9408</v>
      </c>
      <c r="C510" s="17">
        <v>8785</v>
      </c>
      <c r="D510" s="17">
        <v>10133</v>
      </c>
      <c r="E510" s="17">
        <v>12778</v>
      </c>
      <c r="F510" s="51">
        <f>SUM(B510:E510)</f>
        <v>41104</v>
      </c>
    </row>
    <row r="511" spans="1:6" x14ac:dyDescent="0.25">
      <c r="A511" s="15" t="s">
        <v>22</v>
      </c>
      <c r="B511" s="17">
        <v>11688</v>
      </c>
      <c r="C511" s="17">
        <v>9921</v>
      </c>
      <c r="D511" s="17">
        <v>13054</v>
      </c>
      <c r="E511" s="17">
        <v>14326</v>
      </c>
      <c r="F511" s="51">
        <f>SUM(B511:E511)</f>
        <v>48989</v>
      </c>
    </row>
    <row r="512" spans="1:6" x14ac:dyDescent="0.25">
      <c r="A512" s="15" t="s">
        <v>21</v>
      </c>
      <c r="B512" s="17">
        <v>5441</v>
      </c>
      <c r="C512" s="17">
        <v>5215</v>
      </c>
      <c r="D512" s="17">
        <v>7472</v>
      </c>
      <c r="E512" s="17">
        <v>7478</v>
      </c>
      <c r="F512" s="51">
        <f>SUM(B512:E512)</f>
        <v>25606</v>
      </c>
    </row>
    <row r="513" spans="1:6" x14ac:dyDescent="0.25">
      <c r="A513" s="18" t="s">
        <v>65</v>
      </c>
      <c r="B513" s="19">
        <f>SUM(B507:B512)</f>
        <v>43746</v>
      </c>
      <c r="C513" s="19">
        <f>SUM(C507:C512)</f>
        <v>40809</v>
      </c>
      <c r="D513" s="19">
        <f>SUM(D507:D512)</f>
        <v>49983</v>
      </c>
      <c r="E513" s="19">
        <f>SUM(E507:E512)</f>
        <v>56090</v>
      </c>
      <c r="F513" s="19">
        <f>SUM(F507:F512)</f>
        <v>190628</v>
      </c>
    </row>
    <row r="515" spans="1:6" ht="13" x14ac:dyDescent="0.3">
      <c r="B515" s="13" t="s">
        <v>145</v>
      </c>
      <c r="C515" s="13" t="s">
        <v>146</v>
      </c>
      <c r="D515" s="13" t="s">
        <v>147</v>
      </c>
      <c r="E515" s="13" t="s">
        <v>148</v>
      </c>
      <c r="F515" s="13" t="s">
        <v>149</v>
      </c>
    </row>
    <row r="516" spans="1:6" ht="15.75" customHeight="1" x14ac:dyDescent="0.25">
      <c r="A516" s="12" t="s">
        <v>73</v>
      </c>
      <c r="B516" s="19">
        <f>B513+B505</f>
        <v>59201</v>
      </c>
      <c r="C516" s="19">
        <f>C513+C505</f>
        <v>55134</v>
      </c>
      <c r="D516" s="19">
        <f>D513+D505</f>
        <v>63155</v>
      </c>
      <c r="E516" s="19">
        <f>E513+E505</f>
        <v>66131</v>
      </c>
      <c r="F516" s="19">
        <f>F513+F505</f>
        <v>243621</v>
      </c>
    </row>
    <row r="518" spans="1:6" s="46" customFormat="1" ht="5.25" customHeight="1" x14ac:dyDescent="0.25">
      <c r="A518" s="27"/>
      <c r="B518" s="27"/>
      <c r="C518" s="28"/>
      <c r="D518" s="28"/>
      <c r="E518" s="28"/>
      <c r="F518" s="28"/>
    </row>
    <row r="521" spans="1:6" ht="13" x14ac:dyDescent="0.3">
      <c r="A521" s="11" t="s">
        <v>152</v>
      </c>
    </row>
    <row r="522" spans="1:6" ht="13" x14ac:dyDescent="0.3">
      <c r="A522" s="29"/>
    </row>
    <row r="523" spans="1:6" ht="13" x14ac:dyDescent="0.3">
      <c r="A523" s="12" t="s">
        <v>33</v>
      </c>
      <c r="B523" s="13" t="s">
        <v>153</v>
      </c>
      <c r="C523" s="13" t="s">
        <v>154</v>
      </c>
      <c r="D523" s="13" t="s">
        <v>155</v>
      </c>
      <c r="E523" s="13" t="s">
        <v>156</v>
      </c>
      <c r="F523" s="13" t="s">
        <v>157</v>
      </c>
    </row>
    <row r="524" spans="1:6" x14ac:dyDescent="0.25">
      <c r="A524" s="15" t="s">
        <v>56</v>
      </c>
      <c r="B524" s="17">
        <v>7044</v>
      </c>
      <c r="C524" s="17">
        <v>7739</v>
      </c>
      <c r="D524" s="17">
        <v>9423</v>
      </c>
      <c r="E524" s="17">
        <v>8771</v>
      </c>
      <c r="F524" s="51">
        <f>SUM(B524:E524)</f>
        <v>32977</v>
      </c>
    </row>
    <row r="525" spans="1:6" x14ac:dyDescent="0.25">
      <c r="A525" s="15" t="s">
        <v>150</v>
      </c>
      <c r="B525" s="17">
        <v>540</v>
      </c>
      <c r="C525" s="17">
        <v>251</v>
      </c>
      <c r="D525" s="17">
        <v>98</v>
      </c>
      <c r="E525" s="17">
        <v>43</v>
      </c>
      <c r="F525" s="51">
        <f>SUM(B525:E525)</f>
        <v>932</v>
      </c>
    </row>
    <row r="526" spans="1:6" x14ac:dyDescent="0.25">
      <c r="A526" s="15" t="s">
        <v>151</v>
      </c>
      <c r="B526" s="17">
        <v>0</v>
      </c>
      <c r="C526" s="17">
        <v>3</v>
      </c>
      <c r="D526" s="17">
        <v>44</v>
      </c>
      <c r="E526" s="17">
        <v>281</v>
      </c>
      <c r="F526" s="51">
        <f>SUM(B526:E526)</f>
        <v>328</v>
      </c>
    </row>
    <row r="527" spans="1:6" x14ac:dyDescent="0.25">
      <c r="A527" s="15" t="s">
        <v>84</v>
      </c>
      <c r="B527" s="17">
        <v>1416</v>
      </c>
      <c r="C527" s="17">
        <v>1598</v>
      </c>
      <c r="D527" s="17">
        <v>1402</v>
      </c>
      <c r="E527" s="17">
        <v>1253</v>
      </c>
      <c r="F527" s="51">
        <f>SUM(B527:E527)</f>
        <v>5669</v>
      </c>
    </row>
    <row r="528" spans="1:6" x14ac:dyDescent="0.25">
      <c r="A528" s="15" t="s">
        <v>85</v>
      </c>
      <c r="B528" s="17">
        <v>2631</v>
      </c>
      <c r="C528" s="17">
        <v>2172</v>
      </c>
      <c r="D528" s="17">
        <v>2149</v>
      </c>
      <c r="E528" s="17">
        <v>560</v>
      </c>
      <c r="F528" s="51">
        <f>SUM(B528:E528)</f>
        <v>7512</v>
      </c>
    </row>
    <row r="529" spans="1:6" x14ac:dyDescent="0.25">
      <c r="A529" s="18" t="s">
        <v>41</v>
      </c>
      <c r="B529" s="19">
        <f>SUM(B522:B528)</f>
        <v>11631</v>
      </c>
      <c r="C529" s="19">
        <f>SUM(C522:C528)</f>
        <v>11763</v>
      </c>
      <c r="D529" s="19">
        <f>SUM(D522:D528)</f>
        <v>13116</v>
      </c>
      <c r="E529" s="19">
        <f>SUM(E522:E528)</f>
        <v>10908</v>
      </c>
      <c r="F529" s="19">
        <f>SUM(F522:F528)</f>
        <v>47418</v>
      </c>
    </row>
    <row r="531" spans="1:6" ht="13" x14ac:dyDescent="0.3">
      <c r="A531" s="12" t="s">
        <v>72</v>
      </c>
      <c r="B531" s="13" t="s">
        <v>153</v>
      </c>
      <c r="C531" s="13" t="s">
        <v>154</v>
      </c>
      <c r="D531" s="13" t="s">
        <v>155</v>
      </c>
      <c r="E531" s="13" t="s">
        <v>156</v>
      </c>
      <c r="F531" s="13" t="s">
        <v>157</v>
      </c>
    </row>
    <row r="532" spans="1:6" x14ac:dyDescent="0.25">
      <c r="A532" s="15" t="s">
        <v>27</v>
      </c>
      <c r="B532" s="17">
        <v>4269</v>
      </c>
      <c r="C532" s="17">
        <v>3772</v>
      </c>
      <c r="D532" s="17">
        <v>4277</v>
      </c>
      <c r="E532" s="17">
        <v>4895</v>
      </c>
      <c r="F532" s="51">
        <f>SUM(B532:E532)</f>
        <v>17213</v>
      </c>
    </row>
    <row r="533" spans="1:6" x14ac:dyDescent="0.25">
      <c r="A533" s="15" t="s">
        <v>62</v>
      </c>
      <c r="B533" s="17">
        <v>8192</v>
      </c>
      <c r="C533" s="17">
        <v>11072</v>
      </c>
      <c r="D533" s="17">
        <v>11613</v>
      </c>
      <c r="E533" s="17">
        <v>13714</v>
      </c>
      <c r="F533" s="51">
        <f>SUM(B533:E533)</f>
        <v>44591</v>
      </c>
    </row>
    <row r="534" spans="1:6" x14ac:dyDescent="0.25">
      <c r="A534" s="15" t="s">
        <v>30</v>
      </c>
      <c r="B534" s="17">
        <v>5328</v>
      </c>
      <c r="C534" s="17">
        <v>5290</v>
      </c>
      <c r="D534" s="17">
        <v>9585</v>
      </c>
      <c r="E534" s="17">
        <v>9947</v>
      </c>
      <c r="F534" s="51">
        <f>SUM(B534:E534)</f>
        <v>30150</v>
      </c>
    </row>
    <row r="535" spans="1:6" x14ac:dyDescent="0.25">
      <c r="A535" s="15" t="s">
        <v>22</v>
      </c>
      <c r="B535" s="17">
        <v>4381</v>
      </c>
      <c r="C535" s="17">
        <v>7299</v>
      </c>
      <c r="D535" s="17">
        <v>12154</v>
      </c>
      <c r="E535" s="17">
        <v>11753</v>
      </c>
      <c r="F535" s="51">
        <f>SUM(B535:E535)</f>
        <v>35587</v>
      </c>
    </row>
    <row r="536" spans="1:6" x14ac:dyDescent="0.25">
      <c r="A536" s="15" t="s">
        <v>21</v>
      </c>
      <c r="B536" s="17">
        <v>2146</v>
      </c>
      <c r="C536" s="17">
        <v>5109</v>
      </c>
      <c r="D536" s="17">
        <v>5981</v>
      </c>
      <c r="E536" s="17">
        <v>5787</v>
      </c>
      <c r="F536" s="51">
        <f>SUM(B536:E536)</f>
        <v>19023</v>
      </c>
    </row>
    <row r="537" spans="1:6" x14ac:dyDescent="0.25">
      <c r="A537" s="18" t="s">
        <v>65</v>
      </c>
      <c r="B537" s="19">
        <f>SUM(B531:B536)</f>
        <v>24316</v>
      </c>
      <c r="C537" s="19">
        <f>SUM(C531:C536)</f>
        <v>32542</v>
      </c>
      <c r="D537" s="19">
        <f>SUM(D531:D536)</f>
        <v>43610</v>
      </c>
      <c r="E537" s="19">
        <f>SUM(E531:E536)</f>
        <v>46096</v>
      </c>
      <c r="F537" s="19">
        <f>SUM(F531:F536)</f>
        <v>146564</v>
      </c>
    </row>
    <row r="539" spans="1:6" ht="13" x14ac:dyDescent="0.3">
      <c r="B539" s="13" t="s">
        <v>153</v>
      </c>
      <c r="C539" s="13" t="s">
        <v>154</v>
      </c>
      <c r="D539" s="13" t="s">
        <v>155</v>
      </c>
      <c r="E539" s="13" t="s">
        <v>156</v>
      </c>
      <c r="F539" s="13" t="s">
        <v>157</v>
      </c>
    </row>
    <row r="540" spans="1:6" ht="15" customHeight="1" x14ac:dyDescent="0.25">
      <c r="A540" s="12" t="s">
        <v>73</v>
      </c>
      <c r="B540" s="19">
        <f>B537+B529</f>
        <v>35947</v>
      </c>
      <c r="C540" s="19">
        <f>C537+C529</f>
        <v>44305</v>
      </c>
      <c r="D540" s="19">
        <f>D537+D529</f>
        <v>56726</v>
      </c>
      <c r="E540" s="19">
        <f>E537+E529</f>
        <v>57004</v>
      </c>
      <c r="F540" s="19">
        <f>F537+F529</f>
        <v>193982</v>
      </c>
    </row>
    <row r="542" spans="1:6" s="46" customFormat="1" ht="5.25" customHeight="1" x14ac:dyDescent="0.25">
      <c r="A542" s="27"/>
      <c r="B542" s="27"/>
      <c r="C542" s="28"/>
      <c r="D542" s="28"/>
      <c r="E542" s="28"/>
      <c r="F542" s="28"/>
    </row>
    <row r="545" spans="1:6" ht="13" x14ac:dyDescent="0.3">
      <c r="A545" s="11" t="s">
        <v>158</v>
      </c>
    </row>
    <row r="546" spans="1:6" ht="13" x14ac:dyDescent="0.3">
      <c r="A546" s="29"/>
    </row>
    <row r="547" spans="1:6" ht="13" x14ac:dyDescent="0.3">
      <c r="A547" s="12" t="s">
        <v>33</v>
      </c>
      <c r="B547" s="13" t="s">
        <v>159</v>
      </c>
      <c r="C547" s="13" t="s">
        <v>160</v>
      </c>
      <c r="D547" s="13" t="s">
        <v>161</v>
      </c>
      <c r="E547" s="13" t="s">
        <v>162</v>
      </c>
      <c r="F547" s="13" t="s">
        <v>163</v>
      </c>
    </row>
    <row r="548" spans="1:6" x14ac:dyDescent="0.25">
      <c r="A548" s="15" t="s">
        <v>56</v>
      </c>
      <c r="B548" s="51">
        <v>4236</v>
      </c>
      <c r="C548" s="51">
        <v>10326</v>
      </c>
      <c r="D548" s="51">
        <v>8731</v>
      </c>
      <c r="E548" s="51">
        <v>4255</v>
      </c>
      <c r="F548" s="51">
        <f>SUM(B548:E548)</f>
        <v>27548</v>
      </c>
    </row>
    <row r="549" spans="1:6" x14ac:dyDescent="0.25">
      <c r="A549" s="15" t="s">
        <v>150</v>
      </c>
      <c r="B549" s="51">
        <v>651</v>
      </c>
      <c r="C549" s="51">
        <v>1203</v>
      </c>
      <c r="D549" s="51">
        <v>1396</v>
      </c>
      <c r="E549" s="51">
        <v>828</v>
      </c>
      <c r="F549" s="51">
        <f>SUM(B549:E549)</f>
        <v>4078</v>
      </c>
    </row>
    <row r="550" spans="1:6" x14ac:dyDescent="0.25">
      <c r="A550" s="15" t="s">
        <v>84</v>
      </c>
      <c r="B550" s="51">
        <v>424</v>
      </c>
      <c r="C550" s="51">
        <v>2186</v>
      </c>
      <c r="D550" s="51">
        <v>1000</v>
      </c>
      <c r="E550" s="51">
        <v>888</v>
      </c>
      <c r="F550" s="51">
        <f>SUM(B550:E550)</f>
        <v>4498</v>
      </c>
    </row>
    <row r="551" spans="1:6" x14ac:dyDescent="0.25">
      <c r="A551" s="15" t="s">
        <v>85</v>
      </c>
      <c r="B551" s="53">
        <v>1757</v>
      </c>
      <c r="C551" s="53">
        <v>3820</v>
      </c>
      <c r="D551" s="53">
        <v>3583</v>
      </c>
      <c r="E551" s="53">
        <v>1773</v>
      </c>
      <c r="F551" s="51">
        <f>SUM(B551:E551)</f>
        <v>10933</v>
      </c>
    </row>
    <row r="552" spans="1:6" x14ac:dyDescent="0.25">
      <c r="A552" s="54" t="s">
        <v>41</v>
      </c>
      <c r="B552" s="19">
        <f>SUM(B547:B551)</f>
        <v>7068</v>
      </c>
      <c r="C552" s="19">
        <f>SUM(C547:C551)</f>
        <v>17535</v>
      </c>
      <c r="D552" s="19">
        <f>SUM(D547:D551)</f>
        <v>14710</v>
      </c>
      <c r="E552" s="19">
        <f>SUM(E547:E551)</f>
        <v>7744</v>
      </c>
      <c r="F552" s="19">
        <f>SUM(F547:F551)</f>
        <v>47057</v>
      </c>
    </row>
    <row r="554" spans="1:6" ht="13" x14ac:dyDescent="0.3">
      <c r="A554" s="12" t="s">
        <v>72</v>
      </c>
      <c r="B554" s="13" t="s">
        <v>159</v>
      </c>
      <c r="C554" s="13" t="s">
        <v>160</v>
      </c>
      <c r="D554" s="13" t="s">
        <v>161</v>
      </c>
      <c r="E554" s="13" t="s">
        <v>162</v>
      </c>
      <c r="F554" s="13" t="s">
        <v>163</v>
      </c>
    </row>
    <row r="555" spans="1:6" x14ac:dyDescent="0.25">
      <c r="A555" s="15" t="s">
        <v>27</v>
      </c>
      <c r="B555" s="51">
        <v>2002</v>
      </c>
      <c r="C555" s="51">
        <v>5983</v>
      </c>
      <c r="D555" s="51">
        <v>6427</v>
      </c>
      <c r="E555" s="51">
        <v>3772</v>
      </c>
      <c r="F555" s="51">
        <f>SUM(B555:E555)</f>
        <v>18184</v>
      </c>
    </row>
    <row r="556" spans="1:6" x14ac:dyDescent="0.25">
      <c r="A556" s="15" t="s">
        <v>62</v>
      </c>
      <c r="B556" s="51">
        <v>6048</v>
      </c>
      <c r="C556" s="51">
        <v>14027</v>
      </c>
      <c r="D556" s="51">
        <v>10499</v>
      </c>
      <c r="E556" s="51">
        <v>7967</v>
      </c>
      <c r="F556" s="51">
        <f>SUM(B556:E556)</f>
        <v>38541</v>
      </c>
    </row>
    <row r="557" spans="1:6" x14ac:dyDescent="0.25">
      <c r="A557" s="15" t="s">
        <v>30</v>
      </c>
      <c r="B557" s="51">
        <v>3433</v>
      </c>
      <c r="C557" s="51">
        <v>8701</v>
      </c>
      <c r="D557" s="51">
        <v>4591</v>
      </c>
      <c r="E557" s="51">
        <v>4146</v>
      </c>
      <c r="F557" s="51">
        <f>SUM(B557:E557)</f>
        <v>20871</v>
      </c>
    </row>
    <row r="558" spans="1:6" x14ac:dyDescent="0.25">
      <c r="A558" s="15" t="s">
        <v>22</v>
      </c>
      <c r="B558" s="51">
        <v>3734</v>
      </c>
      <c r="C558" s="51">
        <v>9542</v>
      </c>
      <c r="D558" s="51">
        <v>8532</v>
      </c>
      <c r="E558" s="51">
        <v>6396</v>
      </c>
      <c r="F558" s="51">
        <f>SUM(B558:E558)</f>
        <v>28204</v>
      </c>
    </row>
    <row r="559" spans="1:6" x14ac:dyDescent="0.25">
      <c r="A559" s="15" t="s">
        <v>21</v>
      </c>
      <c r="B559" s="51">
        <v>1793</v>
      </c>
      <c r="C559" s="51">
        <v>5631</v>
      </c>
      <c r="D559" s="51">
        <v>4426</v>
      </c>
      <c r="E559" s="51">
        <v>2638</v>
      </c>
      <c r="F559" s="51">
        <f>SUM(B559:E559)</f>
        <v>14488</v>
      </c>
    </row>
    <row r="560" spans="1:6" x14ac:dyDescent="0.25">
      <c r="A560" s="18" t="s">
        <v>65</v>
      </c>
      <c r="B560" s="55">
        <f>SUM(B555:B559)</f>
        <v>17010</v>
      </c>
      <c r="C560" s="55">
        <f>SUM(C555:C559)</f>
        <v>43884</v>
      </c>
      <c r="D560" s="55">
        <f>SUM(D555:D559)</f>
        <v>34475</v>
      </c>
      <c r="E560" s="55">
        <f>SUM(E555:E559)</f>
        <v>24919</v>
      </c>
      <c r="F560" s="55">
        <f>SUM(F555:F559)</f>
        <v>120288</v>
      </c>
    </row>
    <row r="562" spans="1:6" ht="13" x14ac:dyDescent="0.3">
      <c r="A562" s="56"/>
      <c r="B562" s="13" t="s">
        <v>159</v>
      </c>
      <c r="C562" s="13" t="s">
        <v>160</v>
      </c>
      <c r="D562" s="13" t="s">
        <v>161</v>
      </c>
      <c r="E562" s="13" t="s">
        <v>162</v>
      </c>
      <c r="F562" s="13" t="s">
        <v>163</v>
      </c>
    </row>
    <row r="563" spans="1:6" ht="17.25" customHeight="1" x14ac:dyDescent="0.25">
      <c r="A563" s="12" t="s">
        <v>73</v>
      </c>
      <c r="B563" s="55">
        <f>B552+B560</f>
        <v>24078</v>
      </c>
      <c r="C563" s="55">
        <f>C552+C560</f>
        <v>61419</v>
      </c>
      <c r="D563" s="55">
        <f>D552+D560</f>
        <v>49185</v>
      </c>
      <c r="E563" s="55">
        <f>E552+E560</f>
        <v>32663</v>
      </c>
      <c r="F563" s="55">
        <f>F552+F560</f>
        <v>167345</v>
      </c>
    </row>
    <row r="565" spans="1:6" s="46" customFormat="1" ht="5.25" customHeight="1" x14ac:dyDescent="0.25">
      <c r="A565" s="27"/>
      <c r="B565" s="27"/>
      <c r="C565" s="28"/>
      <c r="D565" s="28"/>
      <c r="E565" s="28"/>
      <c r="F565" s="28"/>
    </row>
    <row r="566" spans="1:6" x14ac:dyDescent="0.25">
      <c r="A566" s="57" t="s">
        <v>164</v>
      </c>
    </row>
  </sheetData>
  <pageMargins left="0.56999999999999995" right="1.81" top="0.24" bottom="0.31" header="0.22" footer="0.36"/>
  <pageSetup paperSize="9" scale="36" orientation="landscape" r:id="rId1"/>
  <headerFooter alignWithMargins="0"/>
  <rowBreaks count="1" manualBreakCount="1">
    <brk id="49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B27D-621F-4BF8-A971-DEC1E2592743}">
  <sheetPr>
    <pageSetUpPr fitToPage="1"/>
  </sheetPr>
  <dimension ref="A1:P572"/>
  <sheetViews>
    <sheetView showGridLines="0" topLeftCell="A23" zoomScaleNormal="100" workbookViewId="0">
      <selection activeCell="D31" sqref="D31"/>
    </sheetView>
  </sheetViews>
  <sheetFormatPr defaultRowHeight="12.5" x14ac:dyDescent="0.25"/>
  <cols>
    <col min="1" max="1" width="35.6328125" style="21" customWidth="1"/>
    <col min="2" max="7" width="14.6328125" customWidth="1"/>
    <col min="8" max="22" width="10.90625" customWidth="1"/>
    <col min="23" max="28" width="9.08984375" customWidth="1"/>
  </cols>
  <sheetData>
    <row r="1" spans="1:7" x14ac:dyDescent="0.25">
      <c r="A1" s="47" t="s">
        <v>165</v>
      </c>
    </row>
    <row r="3" spans="1:7" ht="13" x14ac:dyDescent="0.3">
      <c r="A3" s="11" t="s">
        <v>14</v>
      </c>
    </row>
    <row r="5" spans="1:7" ht="13" x14ac:dyDescent="0.3">
      <c r="A5" s="12" t="s">
        <v>166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4"/>
    </row>
    <row r="6" spans="1:7" ht="13" x14ac:dyDescent="0.3">
      <c r="A6" s="15" t="s">
        <v>21</v>
      </c>
      <c r="B6" s="16">
        <f>[11]SmartView!D12</f>
        <v>17561</v>
      </c>
      <c r="C6" s="16">
        <v>16176</v>
      </c>
      <c r="D6" s="16">
        <v>14582</v>
      </c>
      <c r="E6" s="16">
        <f>[11]SmartView!G12</f>
        <v>0</v>
      </c>
      <c r="F6" s="17">
        <f t="shared" ref="F6:F9" si="0">B6+C6+D6+E6</f>
        <v>48319</v>
      </c>
      <c r="G6" s="14"/>
    </row>
    <row r="7" spans="1:7" ht="13" x14ac:dyDescent="0.3">
      <c r="A7" s="15" t="s">
        <v>22</v>
      </c>
      <c r="B7" s="16">
        <f>[11]SmartView!D13</f>
        <v>19796</v>
      </c>
      <c r="C7" s="16">
        <v>17846</v>
      </c>
      <c r="D7" s="16">
        <v>15493</v>
      </c>
      <c r="E7" s="16">
        <f>[11]SmartView!G13</f>
        <v>0</v>
      </c>
      <c r="F7" s="17">
        <f t="shared" si="0"/>
        <v>53135</v>
      </c>
      <c r="G7" s="14"/>
    </row>
    <row r="8" spans="1:7" ht="13" x14ac:dyDescent="0.3">
      <c r="A8" s="15" t="s">
        <v>23</v>
      </c>
      <c r="B8" s="16">
        <f>[11]SmartView!D14</f>
        <v>6006</v>
      </c>
      <c r="C8" s="16">
        <v>4615</v>
      </c>
      <c r="D8" s="16">
        <v>4318</v>
      </c>
      <c r="E8" s="16">
        <f>[11]SmartView!G14</f>
        <v>0</v>
      </c>
      <c r="F8" s="17">
        <f t="shared" si="0"/>
        <v>14939</v>
      </c>
      <c r="G8" s="14"/>
    </row>
    <row r="9" spans="1:7" ht="13" x14ac:dyDescent="0.3">
      <c r="A9" s="15" t="s">
        <v>24</v>
      </c>
      <c r="B9" s="16">
        <f>[11]SmartView!D15</f>
        <v>9992</v>
      </c>
      <c r="C9" s="16">
        <v>8559</v>
      </c>
      <c r="D9" s="16">
        <v>9292</v>
      </c>
      <c r="E9" s="16">
        <f>[11]SmartView!G15</f>
        <v>0</v>
      </c>
      <c r="F9" s="17">
        <f t="shared" si="0"/>
        <v>27843</v>
      </c>
      <c r="G9" s="14"/>
    </row>
    <row r="10" spans="1:7" x14ac:dyDescent="0.25">
      <c r="A10" s="18" t="s">
        <v>25</v>
      </c>
      <c r="B10" s="20">
        <f>SUM(B6:B9)</f>
        <v>53355</v>
      </c>
      <c r="C10" s="20">
        <f>SUM(C6:C9)</f>
        <v>47196</v>
      </c>
      <c r="D10" s="20">
        <f t="shared" ref="D10:E10" si="1">SUM(D6:D9)</f>
        <v>43685</v>
      </c>
      <c r="E10" s="20">
        <f t="shared" si="1"/>
        <v>0</v>
      </c>
      <c r="F10" s="19">
        <f>SUM(F6:F9)</f>
        <v>144236</v>
      </c>
      <c r="G10" s="14"/>
    </row>
    <row r="11" spans="1:7" x14ac:dyDescent="0.25">
      <c r="G11" s="14"/>
    </row>
    <row r="12" spans="1:7" ht="13" x14ac:dyDescent="0.3">
      <c r="A12" s="12" t="s">
        <v>167</v>
      </c>
      <c r="B12" s="13" t="str">
        <f>B5</f>
        <v>Q1 FY 26</v>
      </c>
      <c r="C12" s="13" t="str">
        <f t="shared" ref="C12:E12" si="2">C5</f>
        <v>Q2 FY 26</v>
      </c>
      <c r="D12" s="13" t="str">
        <f t="shared" si="2"/>
        <v>Q3 FY 26</v>
      </c>
      <c r="E12" s="13" t="str">
        <f t="shared" si="2"/>
        <v>Q4 FY 26</v>
      </c>
      <c r="F12" s="13" t="s">
        <v>20</v>
      </c>
      <c r="G12" s="14"/>
    </row>
    <row r="13" spans="1:7" ht="13" x14ac:dyDescent="0.3">
      <c r="A13" s="15" t="s">
        <v>27</v>
      </c>
      <c r="B13" s="16">
        <f>[11]SmartView!D17</f>
        <v>27488</v>
      </c>
      <c r="C13" s="16">
        <v>25370</v>
      </c>
      <c r="D13" s="16">
        <v>24034</v>
      </c>
      <c r="E13" s="16">
        <f>[11]SmartView!G17</f>
        <v>0</v>
      </c>
      <c r="F13" s="17">
        <f t="shared" ref="F13" si="3">B13+C13+D13+E13</f>
        <v>76892</v>
      </c>
      <c r="G13" s="14"/>
    </row>
    <row r="14" spans="1:7" x14ac:dyDescent="0.25">
      <c r="A14" s="18" t="s">
        <v>28</v>
      </c>
      <c r="B14" s="20">
        <f>SUM(B13:B13)</f>
        <v>27488</v>
      </c>
      <c r="C14" s="20">
        <f>SUM(C13:C13)</f>
        <v>25370</v>
      </c>
      <c r="D14" s="20">
        <f t="shared" ref="D14:E14" si="4">SUM(D13:D13)</f>
        <v>24034</v>
      </c>
      <c r="E14" s="20">
        <f t="shared" si="4"/>
        <v>0</v>
      </c>
      <c r="F14" s="19">
        <f>SUM(F13:F13)</f>
        <v>76892</v>
      </c>
      <c r="G14" s="14"/>
    </row>
    <row r="15" spans="1:7" x14ac:dyDescent="0.25">
      <c r="G15" s="14"/>
    </row>
    <row r="16" spans="1:7" ht="13" x14ac:dyDescent="0.3">
      <c r="A16" s="12" t="s">
        <v>168</v>
      </c>
      <c r="B16" s="13" t="str">
        <f>B12</f>
        <v>Q1 FY 26</v>
      </c>
      <c r="C16" s="13" t="str">
        <f>C12</f>
        <v>Q2 FY 26</v>
      </c>
      <c r="D16" s="13" t="str">
        <f>D12</f>
        <v>Q3 FY 26</v>
      </c>
      <c r="E16" s="13" t="str">
        <f>E12</f>
        <v>Q4 FY 26</v>
      </c>
      <c r="F16" s="13" t="s">
        <v>20</v>
      </c>
      <c r="G16" s="14"/>
    </row>
    <row r="17" spans="1:7" ht="13" x14ac:dyDescent="0.3">
      <c r="A17" s="15" t="s">
        <v>30</v>
      </c>
      <c r="B17" s="16">
        <f>[11]SmartView!D19</f>
        <v>3445</v>
      </c>
      <c r="C17" s="16">
        <v>2441</v>
      </c>
      <c r="D17" s="16">
        <v>3017</v>
      </c>
      <c r="E17" s="16">
        <f>[11]SmartView!G19</f>
        <v>0</v>
      </c>
      <c r="F17" s="17">
        <f t="shared" ref="F17:F18" si="5">B17+C17+D17+E17</f>
        <v>8903</v>
      </c>
      <c r="G17" s="14"/>
    </row>
    <row r="18" spans="1:7" ht="13" x14ac:dyDescent="0.3">
      <c r="A18" s="15" t="s">
        <v>31</v>
      </c>
      <c r="B18" s="16">
        <f>[11]SmartView!D20</f>
        <v>4833</v>
      </c>
      <c r="C18" s="16">
        <v>3454</v>
      </c>
      <c r="D18" s="16">
        <v>2903</v>
      </c>
      <c r="E18" s="16">
        <f>[11]SmartView!G20</f>
        <v>0</v>
      </c>
      <c r="F18" s="17">
        <f t="shared" si="5"/>
        <v>11190</v>
      </c>
      <c r="G18" s="14"/>
    </row>
    <row r="19" spans="1:7" x14ac:dyDescent="0.25">
      <c r="A19" s="18" t="s">
        <v>32</v>
      </c>
      <c r="B19" s="20">
        <f>SUM(B17:B18)</f>
        <v>8278</v>
      </c>
      <c r="C19" s="20">
        <f>SUM(C17:C18)</f>
        <v>5895</v>
      </c>
      <c r="D19" s="20">
        <f t="shared" ref="D19:E19" si="6">SUM(D17:D18)</f>
        <v>5920</v>
      </c>
      <c r="E19" s="20">
        <f t="shared" si="6"/>
        <v>0</v>
      </c>
      <c r="F19" s="19">
        <f>SUM(F17:F18)</f>
        <v>20093</v>
      </c>
      <c r="G19" s="14"/>
    </row>
    <row r="20" spans="1:7" x14ac:dyDescent="0.25">
      <c r="G20" s="14"/>
    </row>
    <row r="21" spans="1:7" ht="13" x14ac:dyDescent="0.3">
      <c r="A21" s="12" t="s">
        <v>169</v>
      </c>
      <c r="B21" s="13" t="str">
        <f>B16</f>
        <v>Q1 FY 26</v>
      </c>
      <c r="C21" s="13" t="str">
        <f>C16</f>
        <v>Q2 FY 26</v>
      </c>
      <c r="D21" s="13" t="str">
        <f>D16</f>
        <v>Q3 FY 26</v>
      </c>
      <c r="E21" s="13" t="str">
        <f>E16</f>
        <v>Q4 FY 26</v>
      </c>
      <c r="F21" s="13" t="s">
        <v>20</v>
      </c>
      <c r="G21" s="14"/>
    </row>
    <row r="22" spans="1:7" ht="13" x14ac:dyDescent="0.3">
      <c r="A22" s="15" t="s">
        <v>34</v>
      </c>
      <c r="B22" s="16">
        <f>[11]SmartView!D22</f>
        <v>1534</v>
      </c>
      <c r="C22" s="16">
        <v>2914</v>
      </c>
      <c r="D22" s="16">
        <v>1087</v>
      </c>
      <c r="E22" s="16">
        <f>[11]SmartView!G22</f>
        <v>0</v>
      </c>
      <c r="F22" s="17">
        <f t="shared" ref="F22:F27" si="7">B22+C22+D22+E22</f>
        <v>5535</v>
      </c>
      <c r="G22" s="14"/>
    </row>
    <row r="23" spans="1:7" ht="13" x14ac:dyDescent="0.3">
      <c r="A23" s="15" t="s">
        <v>35</v>
      </c>
      <c r="B23" s="16">
        <f>[11]SmartView!D23</f>
        <v>1251</v>
      </c>
      <c r="C23" s="16">
        <v>2307</v>
      </c>
      <c r="D23" s="16">
        <v>3337</v>
      </c>
      <c r="E23" s="16">
        <f>[11]SmartView!G23</f>
        <v>0</v>
      </c>
      <c r="F23" s="17">
        <f t="shared" si="7"/>
        <v>6895</v>
      </c>
      <c r="G23" s="14"/>
    </row>
    <row r="24" spans="1:7" ht="13" x14ac:dyDescent="0.3">
      <c r="A24" s="15" t="s">
        <v>37</v>
      </c>
      <c r="B24" s="16">
        <f>[11]SmartView!D24</f>
        <v>159</v>
      </c>
      <c r="C24" s="16">
        <v>133</v>
      </c>
      <c r="D24" s="16">
        <v>119</v>
      </c>
      <c r="E24" s="16">
        <f>[11]SmartView!G24</f>
        <v>0</v>
      </c>
      <c r="F24" s="17">
        <f t="shared" si="7"/>
        <v>411</v>
      </c>
      <c r="G24" s="14"/>
    </row>
    <row r="25" spans="1:7" ht="13" x14ac:dyDescent="0.3">
      <c r="A25" s="15" t="s">
        <v>38</v>
      </c>
      <c r="B25" s="16">
        <f>[11]SmartView!D25</f>
        <v>456</v>
      </c>
      <c r="C25" s="16">
        <v>295</v>
      </c>
      <c r="D25" s="16">
        <v>199</v>
      </c>
      <c r="E25" s="16">
        <f>[11]SmartView!G25</f>
        <v>0</v>
      </c>
      <c r="F25" s="17">
        <f t="shared" si="7"/>
        <v>950</v>
      </c>
      <c r="G25" s="14"/>
    </row>
    <row r="26" spans="1:7" ht="13" x14ac:dyDescent="0.3">
      <c r="A26" s="15" t="s">
        <v>39</v>
      </c>
      <c r="B26" s="16">
        <f>[11]SmartView!D26</f>
        <v>1708</v>
      </c>
      <c r="C26" s="16">
        <v>1160</v>
      </c>
      <c r="D26" s="16">
        <v>1343</v>
      </c>
      <c r="E26" s="16">
        <f>[11]SmartView!G26</f>
        <v>0</v>
      </c>
      <c r="F26" s="22">
        <f t="shared" si="7"/>
        <v>4211</v>
      </c>
      <c r="G26" s="14"/>
    </row>
    <row r="27" spans="1:7" ht="13" x14ac:dyDescent="0.3">
      <c r="A27" s="15" t="s">
        <v>40</v>
      </c>
      <c r="B27" s="16">
        <f>[11]SmartView!D27</f>
        <v>191</v>
      </c>
      <c r="C27" s="16">
        <v>101</v>
      </c>
      <c r="D27" s="16">
        <v>74</v>
      </c>
      <c r="E27" s="16">
        <f>[11]SmartView!G27</f>
        <v>0</v>
      </c>
      <c r="F27" s="17">
        <f t="shared" si="7"/>
        <v>366</v>
      </c>
      <c r="G27" s="14"/>
    </row>
    <row r="28" spans="1:7" x14ac:dyDescent="0.25">
      <c r="A28" s="18" t="s">
        <v>41</v>
      </c>
      <c r="B28" s="20">
        <f>SUM(B22:B27)</f>
        <v>5299</v>
      </c>
      <c r="C28" s="20">
        <f>SUM(C22:C27)</f>
        <v>6910</v>
      </c>
      <c r="D28" s="20">
        <f t="shared" ref="D28:E28" si="8">SUM(D22:D27)</f>
        <v>6159</v>
      </c>
      <c r="E28" s="20">
        <f t="shared" si="8"/>
        <v>0</v>
      </c>
      <c r="F28" s="19">
        <f>SUM(F22:F27)</f>
        <v>18368</v>
      </c>
      <c r="G28" s="14"/>
    </row>
    <row r="29" spans="1:7" x14ac:dyDescent="0.25">
      <c r="G29" s="14"/>
    </row>
    <row r="30" spans="1:7" ht="13" x14ac:dyDescent="0.3">
      <c r="B30" s="13" t="str">
        <f>B5</f>
        <v>Q1 FY 26</v>
      </c>
      <c r="C30" s="13" t="str">
        <f>C5</f>
        <v>Q2 FY 26</v>
      </c>
      <c r="D30" s="13" t="str">
        <f>D5</f>
        <v>Q3 FY 26</v>
      </c>
      <c r="E30" s="13" t="str">
        <f>E5</f>
        <v>Q4 FY 26</v>
      </c>
      <c r="F30" s="13" t="str">
        <f>F5</f>
        <v>YTD</v>
      </c>
      <c r="G30" s="14"/>
    </row>
    <row r="31" spans="1:7" x14ac:dyDescent="0.25">
      <c r="A31" s="12" t="s">
        <v>170</v>
      </c>
      <c r="B31" s="20">
        <f>B10+B14+B19+B28</f>
        <v>94420</v>
      </c>
      <c r="C31" s="20">
        <f>C10+C14+C19+C28</f>
        <v>85371</v>
      </c>
      <c r="D31" s="20">
        <f>D10+D14+D19+D28</f>
        <v>79798</v>
      </c>
      <c r="E31" s="20">
        <f>E10+E14+E19+E28</f>
        <v>0</v>
      </c>
      <c r="F31" s="19">
        <f>F10+F14+F19+F28</f>
        <v>259589</v>
      </c>
      <c r="G31" s="14"/>
    </row>
    <row r="32" spans="1:7" x14ac:dyDescent="0.25">
      <c r="A32" s="35"/>
      <c r="B32" s="24"/>
      <c r="C32" s="24"/>
      <c r="D32" s="24"/>
      <c r="E32" s="24"/>
      <c r="F32" s="24"/>
      <c r="G32" s="14"/>
    </row>
    <row r="33" spans="1:7" ht="13" x14ac:dyDescent="0.3">
      <c r="A33" s="12" t="s">
        <v>75</v>
      </c>
      <c r="B33" s="13" t="str">
        <f>B21</f>
        <v>Q1 FY 26</v>
      </c>
      <c r="C33" s="13" t="str">
        <f>C21</f>
        <v>Q2 FY 26</v>
      </c>
      <c r="D33" s="13" t="str">
        <f t="shared" ref="D33:E33" si="9">D21</f>
        <v>Q3 FY 26</v>
      </c>
      <c r="E33" s="13" t="str">
        <f t="shared" si="9"/>
        <v>Q4 FY 26</v>
      </c>
      <c r="F33" s="13" t="str">
        <f>F21</f>
        <v>YTD</v>
      </c>
      <c r="G33" s="14"/>
    </row>
    <row r="34" spans="1:7" ht="13" x14ac:dyDescent="0.3">
      <c r="A34" s="36" t="s">
        <v>64</v>
      </c>
      <c r="B34" s="16">
        <f>[11]SmartView!D30</f>
        <v>2088</v>
      </c>
      <c r="C34" s="16">
        <v>1362</v>
      </c>
      <c r="D34" s="16">
        <v>2804</v>
      </c>
      <c r="E34" s="16">
        <f>[11]SmartView!G30</f>
        <v>0</v>
      </c>
      <c r="F34" s="43">
        <f>SUM(B34:E34)</f>
        <v>6254</v>
      </c>
      <c r="G34" s="14"/>
    </row>
    <row r="35" spans="1:7" ht="13" x14ac:dyDescent="0.3">
      <c r="A35" s="36" t="s">
        <v>63</v>
      </c>
      <c r="B35" s="16">
        <f>[11]SmartView!D31</f>
        <v>1469</v>
      </c>
      <c r="C35" s="16">
        <v>796</v>
      </c>
      <c r="D35" s="16">
        <v>165</v>
      </c>
      <c r="E35" s="16">
        <f>[11]SmartView!G31</f>
        <v>0</v>
      </c>
      <c r="F35" s="43">
        <f>SUM(B35:E35)</f>
        <v>2430</v>
      </c>
      <c r="G35" s="14"/>
    </row>
    <row r="36" spans="1:7" ht="13" x14ac:dyDescent="0.3">
      <c r="A36" s="36" t="s">
        <v>77</v>
      </c>
      <c r="B36" s="16">
        <f>[11]SmartView!D32</f>
        <v>1523</v>
      </c>
      <c r="C36" s="16">
        <v>2911</v>
      </c>
      <c r="D36" s="16">
        <v>1087</v>
      </c>
      <c r="E36" s="16">
        <f>[11]SmartView!G32</f>
        <v>0</v>
      </c>
      <c r="F36" s="43">
        <f>SUM(B36:E36)</f>
        <v>5521</v>
      </c>
      <c r="G36" s="14"/>
    </row>
    <row r="37" spans="1:7" ht="13" x14ac:dyDescent="0.3">
      <c r="A37" s="36" t="s">
        <v>76</v>
      </c>
      <c r="B37" s="16">
        <f>[11]SmartView!D33</f>
        <v>1152</v>
      </c>
      <c r="C37" s="16">
        <v>2230</v>
      </c>
      <c r="D37" s="16">
        <v>3248</v>
      </c>
      <c r="E37" s="16">
        <f>[11]SmartView!G33</f>
        <v>0</v>
      </c>
      <c r="F37" s="43">
        <f>SUM(B37:E37)</f>
        <v>6630</v>
      </c>
      <c r="G37" s="14"/>
    </row>
    <row r="38" spans="1:7" ht="13" x14ac:dyDescent="0.3">
      <c r="A38" s="36" t="s">
        <v>78</v>
      </c>
      <c r="B38" s="16">
        <f>[11]SmartView!D34</f>
        <v>98</v>
      </c>
      <c r="C38" s="16">
        <v>118</v>
      </c>
      <c r="D38" s="16">
        <v>64</v>
      </c>
      <c r="E38" s="16">
        <f>[11]SmartView!G34</f>
        <v>0</v>
      </c>
      <c r="F38" s="43">
        <f>SUM(B38:E38)</f>
        <v>280</v>
      </c>
      <c r="G38" s="14"/>
    </row>
    <row r="39" spans="1:7" x14ac:dyDescent="0.25">
      <c r="D39" s="31"/>
    </row>
    <row r="40" spans="1:7" s="44" customFormat="1" x14ac:dyDescent="0.25">
      <c r="A40" s="27"/>
      <c r="B40" s="27"/>
      <c r="C40" s="28"/>
      <c r="D40" s="28"/>
      <c r="E40" s="28"/>
      <c r="F40" s="28"/>
    </row>
    <row r="41" spans="1:7" x14ac:dyDescent="0.25">
      <c r="A41" s="25"/>
      <c r="B41" s="25"/>
      <c r="C41" s="26"/>
      <c r="D41" s="26"/>
      <c r="E41" s="26"/>
      <c r="F41" s="26"/>
    </row>
    <row r="42" spans="1:7" ht="13" x14ac:dyDescent="0.3">
      <c r="A42" s="11" t="s">
        <v>44</v>
      </c>
    </row>
    <row r="44" spans="1:7" ht="13" x14ac:dyDescent="0.3">
      <c r="A44" s="12" t="s">
        <v>166</v>
      </c>
      <c r="B44" s="13" t="s">
        <v>45</v>
      </c>
      <c r="C44" s="13" t="s">
        <v>46</v>
      </c>
      <c r="D44" s="13" t="s">
        <v>47</v>
      </c>
      <c r="E44" s="13" t="s">
        <v>48</v>
      </c>
      <c r="F44" s="13" t="s">
        <v>20</v>
      </c>
      <c r="G44" s="14"/>
    </row>
    <row r="45" spans="1:7" ht="13" x14ac:dyDescent="0.3">
      <c r="A45" s="15" t="s">
        <v>21</v>
      </c>
      <c r="B45" s="16">
        <v>18281</v>
      </c>
      <c r="C45" s="16">
        <v>16777</v>
      </c>
      <c r="D45" s="16">
        <v>22134</v>
      </c>
      <c r="E45" s="16">
        <v>18674</v>
      </c>
      <c r="F45" s="17">
        <v>75866</v>
      </c>
      <c r="G45" s="14"/>
    </row>
    <row r="46" spans="1:7" ht="13" x14ac:dyDescent="0.3">
      <c r="A46" s="15" t="s">
        <v>22</v>
      </c>
      <c r="B46" s="16">
        <v>19735</v>
      </c>
      <c r="C46" s="16">
        <v>16931</v>
      </c>
      <c r="D46" s="16">
        <v>17402</v>
      </c>
      <c r="E46" s="16">
        <v>20924</v>
      </c>
      <c r="F46" s="17">
        <v>74992</v>
      </c>
      <c r="G46" s="14"/>
    </row>
    <row r="47" spans="1:7" ht="13" x14ac:dyDescent="0.3">
      <c r="A47" s="15" t="s">
        <v>23</v>
      </c>
      <c r="B47" s="16">
        <v>6878</v>
      </c>
      <c r="C47" s="16">
        <v>5710</v>
      </c>
      <c r="D47" s="16">
        <v>5473</v>
      </c>
      <c r="E47" s="16">
        <v>5967</v>
      </c>
      <c r="F47" s="17">
        <v>24028</v>
      </c>
      <c r="G47" s="14"/>
    </row>
    <row r="48" spans="1:7" ht="13" x14ac:dyDescent="0.3">
      <c r="A48" s="15" t="s">
        <v>24</v>
      </c>
      <c r="B48" s="16">
        <v>12166</v>
      </c>
      <c r="C48" s="16">
        <v>12751</v>
      </c>
      <c r="D48" s="16">
        <v>11260</v>
      </c>
      <c r="E48" s="16">
        <v>13984</v>
      </c>
      <c r="F48" s="17">
        <v>50161</v>
      </c>
      <c r="G48" s="14"/>
    </row>
    <row r="49" spans="1:7" x14ac:dyDescent="0.25">
      <c r="A49" s="18" t="s">
        <v>25</v>
      </c>
      <c r="B49" s="20">
        <v>57060</v>
      </c>
      <c r="C49" s="20">
        <v>52169</v>
      </c>
      <c r="D49" s="20">
        <v>56269</v>
      </c>
      <c r="E49" s="20">
        <v>59549</v>
      </c>
      <c r="F49" s="19">
        <v>225047</v>
      </c>
      <c r="G49" s="14"/>
    </row>
    <row r="50" spans="1:7" x14ac:dyDescent="0.25">
      <c r="G50" s="14"/>
    </row>
    <row r="51" spans="1:7" ht="13" x14ac:dyDescent="0.3">
      <c r="A51" s="12" t="s">
        <v>167</v>
      </c>
      <c r="B51" s="13" t="s">
        <v>45</v>
      </c>
      <c r="C51" s="13" t="s">
        <v>46</v>
      </c>
      <c r="D51" s="13" t="s">
        <v>47</v>
      </c>
      <c r="E51" s="13" t="s">
        <v>48</v>
      </c>
      <c r="F51" s="13" t="s">
        <v>20</v>
      </c>
      <c r="G51" s="14"/>
    </row>
    <row r="52" spans="1:7" ht="13" x14ac:dyDescent="0.3">
      <c r="A52" s="15" t="s">
        <v>27</v>
      </c>
      <c r="B52" s="16">
        <v>27414</v>
      </c>
      <c r="C52" s="16">
        <v>26660</v>
      </c>
      <c r="D52" s="16">
        <v>28321</v>
      </c>
      <c r="E52" s="16">
        <v>30240</v>
      </c>
      <c r="F52" s="17">
        <v>112635</v>
      </c>
      <c r="G52" s="14"/>
    </row>
    <row r="53" spans="1:7" x14ac:dyDescent="0.25">
      <c r="A53" s="18" t="s">
        <v>28</v>
      </c>
      <c r="B53" s="20">
        <v>27414</v>
      </c>
      <c r="C53" s="20">
        <v>26660</v>
      </c>
      <c r="D53" s="20">
        <v>28321</v>
      </c>
      <c r="E53" s="20">
        <v>30240</v>
      </c>
      <c r="F53" s="19">
        <v>112635</v>
      </c>
      <c r="G53" s="14"/>
    </row>
    <row r="54" spans="1:7" x14ac:dyDescent="0.25">
      <c r="G54" s="14"/>
    </row>
    <row r="55" spans="1:7" ht="13" x14ac:dyDescent="0.3">
      <c r="A55" s="12" t="s">
        <v>168</v>
      </c>
      <c r="B55" s="13" t="s">
        <v>45</v>
      </c>
      <c r="C55" s="13" t="s">
        <v>46</v>
      </c>
      <c r="D55" s="13" t="s">
        <v>47</v>
      </c>
      <c r="E55" s="13" t="s">
        <v>48</v>
      </c>
      <c r="F55" s="13" t="s">
        <v>20</v>
      </c>
      <c r="G55" s="14"/>
    </row>
    <row r="56" spans="1:7" ht="13" x14ac:dyDescent="0.3">
      <c r="A56" s="15" t="s">
        <v>30</v>
      </c>
      <c r="B56" s="16">
        <v>3837</v>
      </c>
      <c r="C56" s="16">
        <v>3323</v>
      </c>
      <c r="D56" s="16">
        <v>3332</v>
      </c>
      <c r="E56" s="16">
        <v>3994</v>
      </c>
      <c r="F56" s="17">
        <v>14486</v>
      </c>
      <c r="G56" s="14"/>
    </row>
    <row r="57" spans="1:7" ht="13" x14ac:dyDescent="0.3">
      <c r="A57" s="15" t="s">
        <v>31</v>
      </c>
      <c r="B57" s="16">
        <v>7545</v>
      </c>
      <c r="C57" s="16">
        <v>6726</v>
      </c>
      <c r="D57" s="16">
        <v>6798</v>
      </c>
      <c r="E57" s="16">
        <v>7172</v>
      </c>
      <c r="F57" s="17">
        <v>28241</v>
      </c>
      <c r="G57" s="14"/>
    </row>
    <row r="58" spans="1:7" x14ac:dyDescent="0.25">
      <c r="A58" s="18" t="s">
        <v>32</v>
      </c>
      <c r="B58" s="20">
        <v>11382</v>
      </c>
      <c r="C58" s="20">
        <v>10049</v>
      </c>
      <c r="D58" s="20">
        <v>10130</v>
      </c>
      <c r="E58" s="20">
        <v>11166</v>
      </c>
      <c r="F58" s="19">
        <v>42727</v>
      </c>
      <c r="G58" s="14"/>
    </row>
    <row r="59" spans="1:7" x14ac:dyDescent="0.25">
      <c r="G59" s="14"/>
    </row>
    <row r="60" spans="1:7" ht="13" x14ac:dyDescent="0.3">
      <c r="A60" s="12" t="s">
        <v>169</v>
      </c>
      <c r="B60" s="13" t="s">
        <v>45</v>
      </c>
      <c r="C60" s="13" t="s">
        <v>46</v>
      </c>
      <c r="D60" s="13" t="s">
        <v>47</v>
      </c>
      <c r="E60" s="13" t="s">
        <v>48</v>
      </c>
      <c r="F60" s="13" t="s">
        <v>20</v>
      </c>
      <c r="G60" s="14"/>
    </row>
    <row r="61" spans="1:7" ht="13" x14ac:dyDescent="0.3">
      <c r="A61" s="15" t="s">
        <v>34</v>
      </c>
      <c r="B61" s="16">
        <v>2320</v>
      </c>
      <c r="C61" s="16">
        <v>2773</v>
      </c>
      <c r="D61" s="16">
        <v>2153</v>
      </c>
      <c r="E61" s="16">
        <v>944</v>
      </c>
      <c r="F61" s="17">
        <v>8190</v>
      </c>
      <c r="G61" s="14"/>
    </row>
    <row r="62" spans="1:7" ht="13" x14ac:dyDescent="0.3">
      <c r="A62" s="15" t="s">
        <v>35</v>
      </c>
      <c r="B62" s="16">
        <v>2834</v>
      </c>
      <c r="C62" s="16">
        <v>3373</v>
      </c>
      <c r="D62" s="16">
        <v>2389</v>
      </c>
      <c r="E62" s="16">
        <v>793</v>
      </c>
      <c r="F62" s="17">
        <v>9389</v>
      </c>
      <c r="G62" s="14"/>
    </row>
    <row r="63" spans="1:7" ht="13" x14ac:dyDescent="0.3">
      <c r="A63" s="15" t="s">
        <v>37</v>
      </c>
      <c r="B63" s="16">
        <v>990</v>
      </c>
      <c r="C63" s="16">
        <v>531</v>
      </c>
      <c r="D63" s="16">
        <v>391</v>
      </c>
      <c r="E63" s="16">
        <v>211</v>
      </c>
      <c r="F63" s="17">
        <v>2123</v>
      </c>
      <c r="G63" s="14"/>
    </row>
    <row r="64" spans="1:7" ht="13" x14ac:dyDescent="0.3">
      <c r="A64" s="15" t="s">
        <v>38</v>
      </c>
      <c r="B64" s="16">
        <v>1965</v>
      </c>
      <c r="C64" s="16">
        <v>1508</v>
      </c>
      <c r="D64" s="16">
        <v>1107</v>
      </c>
      <c r="E64" s="16">
        <v>679</v>
      </c>
      <c r="F64" s="17">
        <v>5259</v>
      </c>
      <c r="G64" s="14"/>
    </row>
    <row r="65" spans="1:7" ht="13" x14ac:dyDescent="0.3">
      <c r="A65" s="15" t="s">
        <v>39</v>
      </c>
      <c r="B65" s="16">
        <v>5292</v>
      </c>
      <c r="C65" s="16">
        <v>4682</v>
      </c>
      <c r="D65" s="16">
        <v>3612</v>
      </c>
      <c r="E65" s="16">
        <v>2548</v>
      </c>
      <c r="F65" s="22">
        <v>16134</v>
      </c>
      <c r="G65" s="14"/>
    </row>
    <row r="66" spans="1:7" ht="13" x14ac:dyDescent="0.3">
      <c r="A66" s="15" t="s">
        <v>40</v>
      </c>
      <c r="B66" s="16">
        <v>1923</v>
      </c>
      <c r="C66" s="16">
        <v>1363</v>
      </c>
      <c r="D66" s="16">
        <v>1962</v>
      </c>
      <c r="E66" s="16">
        <v>2102</v>
      </c>
      <c r="F66" s="17">
        <v>7350</v>
      </c>
      <c r="G66" s="14"/>
    </row>
    <row r="67" spans="1:7" x14ac:dyDescent="0.25">
      <c r="A67" s="18" t="s">
        <v>41</v>
      </c>
      <c r="B67" s="20">
        <v>15324</v>
      </c>
      <c r="C67" s="20">
        <v>14230</v>
      </c>
      <c r="D67" s="20">
        <v>11614</v>
      </c>
      <c r="E67" s="20">
        <v>7277</v>
      </c>
      <c r="F67" s="19">
        <v>48445</v>
      </c>
      <c r="G67" s="14"/>
    </row>
    <row r="68" spans="1:7" x14ac:dyDescent="0.25">
      <c r="G68" s="14"/>
    </row>
    <row r="69" spans="1:7" ht="13" x14ac:dyDescent="0.3">
      <c r="B69" s="13" t="s">
        <v>45</v>
      </c>
      <c r="C69" s="13" t="s">
        <v>46</v>
      </c>
      <c r="D69" s="13" t="s">
        <v>47</v>
      </c>
      <c r="E69" s="13" t="s">
        <v>48</v>
      </c>
      <c r="F69" s="13" t="s">
        <v>20</v>
      </c>
      <c r="G69" s="14"/>
    </row>
    <row r="70" spans="1:7" x14ac:dyDescent="0.25">
      <c r="A70" s="12" t="s">
        <v>170</v>
      </c>
      <c r="B70" s="20">
        <v>111180</v>
      </c>
      <c r="C70" s="20">
        <v>103108</v>
      </c>
      <c r="D70" s="20">
        <v>106334</v>
      </c>
      <c r="E70" s="20">
        <v>108232</v>
      </c>
      <c r="F70" s="19">
        <v>428854</v>
      </c>
      <c r="G70" s="14"/>
    </row>
    <row r="71" spans="1:7" x14ac:dyDescent="0.25">
      <c r="A71" s="35"/>
      <c r="B71" s="24"/>
      <c r="C71" s="24"/>
      <c r="D71" s="24"/>
      <c r="E71" s="24"/>
      <c r="F71" s="24"/>
      <c r="G71" s="14"/>
    </row>
    <row r="72" spans="1:7" ht="13" x14ac:dyDescent="0.3">
      <c r="A72" s="12" t="s">
        <v>75</v>
      </c>
      <c r="B72" s="13" t="s">
        <v>45</v>
      </c>
      <c r="C72" s="13" t="s">
        <v>46</v>
      </c>
      <c r="D72" s="13" t="s">
        <v>47</v>
      </c>
      <c r="E72" s="13" t="s">
        <v>48</v>
      </c>
      <c r="F72" s="13" t="s">
        <v>20</v>
      </c>
      <c r="G72" s="14"/>
    </row>
    <row r="73" spans="1:7" ht="13" x14ac:dyDescent="0.3">
      <c r="A73" s="36" t="s">
        <v>64</v>
      </c>
      <c r="B73" s="16">
        <v>2623</v>
      </c>
      <c r="C73" s="16">
        <v>2649</v>
      </c>
      <c r="D73" s="16">
        <v>2045</v>
      </c>
      <c r="E73" s="16">
        <v>1916</v>
      </c>
      <c r="F73" s="43">
        <v>9233</v>
      </c>
      <c r="G73" s="14"/>
    </row>
    <row r="74" spans="1:7" ht="13" x14ac:dyDescent="0.3">
      <c r="A74" s="36" t="s">
        <v>63</v>
      </c>
      <c r="B74" s="16">
        <v>3451</v>
      </c>
      <c r="C74" s="16">
        <v>2272</v>
      </c>
      <c r="D74" s="16">
        <v>1623</v>
      </c>
      <c r="E74" s="16">
        <v>1586</v>
      </c>
      <c r="F74" s="43">
        <v>8932</v>
      </c>
      <c r="G74" s="14"/>
    </row>
    <row r="75" spans="1:7" ht="13" x14ac:dyDescent="0.3">
      <c r="A75" s="36" t="s">
        <v>77</v>
      </c>
      <c r="B75" s="16">
        <v>2043</v>
      </c>
      <c r="C75" s="16">
        <v>2611</v>
      </c>
      <c r="D75" s="16">
        <v>2095</v>
      </c>
      <c r="E75" s="16">
        <v>919</v>
      </c>
      <c r="F75" s="43">
        <v>7668</v>
      </c>
      <c r="G75" s="14"/>
    </row>
    <row r="76" spans="1:7" ht="13" x14ac:dyDescent="0.3">
      <c r="A76" s="36" t="s">
        <v>76</v>
      </c>
      <c r="B76" s="16">
        <v>2141</v>
      </c>
      <c r="C76" s="16">
        <v>2835</v>
      </c>
      <c r="D76" s="16">
        <v>2096</v>
      </c>
      <c r="E76" s="16">
        <v>672</v>
      </c>
      <c r="F76" s="43">
        <v>7744</v>
      </c>
      <c r="G76" s="14"/>
    </row>
    <row r="77" spans="1:7" ht="13" x14ac:dyDescent="0.3">
      <c r="A77" s="36" t="s">
        <v>78</v>
      </c>
      <c r="B77" s="16">
        <v>245</v>
      </c>
      <c r="C77" s="16">
        <v>140</v>
      </c>
      <c r="D77" s="16">
        <v>97</v>
      </c>
      <c r="E77" s="16">
        <v>97</v>
      </c>
      <c r="F77" s="43">
        <v>579</v>
      </c>
      <c r="G77" s="14"/>
    </row>
    <row r="78" spans="1:7" x14ac:dyDescent="0.25">
      <c r="D78" s="31"/>
    </row>
    <row r="79" spans="1:7" s="44" customFormat="1" x14ac:dyDescent="0.25">
      <c r="A79" s="27"/>
      <c r="B79" s="27"/>
      <c r="C79" s="28"/>
      <c r="D79" s="28"/>
      <c r="E79" s="28"/>
      <c r="F79" s="28"/>
    </row>
    <row r="80" spans="1:7" s="14" customFormat="1" x14ac:dyDescent="0.25">
      <c r="A80" s="48"/>
      <c r="B80" s="48"/>
      <c r="C80" s="49"/>
      <c r="D80" s="49"/>
      <c r="E80" s="49"/>
      <c r="F80" s="49"/>
    </row>
    <row r="81" spans="1:7" ht="13" x14ac:dyDescent="0.3">
      <c r="A81" s="11" t="s">
        <v>49</v>
      </c>
    </row>
    <row r="83" spans="1:7" ht="13" x14ac:dyDescent="0.3">
      <c r="A83" s="12" t="s">
        <v>169</v>
      </c>
      <c r="B83" s="13" t="s">
        <v>51</v>
      </c>
      <c r="C83" s="13" t="s">
        <v>52</v>
      </c>
      <c r="D83" s="13" t="s">
        <v>53</v>
      </c>
      <c r="E83" s="13" t="s">
        <v>54</v>
      </c>
      <c r="F83" s="13" t="s">
        <v>20</v>
      </c>
      <c r="G83" s="14"/>
    </row>
    <row r="84" spans="1:7" x14ac:dyDescent="0.25">
      <c r="A84" s="15" t="s">
        <v>34</v>
      </c>
      <c r="B84" s="17">
        <v>3195</v>
      </c>
      <c r="C84" s="17">
        <v>3660</v>
      </c>
      <c r="D84" s="17">
        <v>2540</v>
      </c>
      <c r="E84" s="17">
        <v>2157</v>
      </c>
      <c r="F84" s="17">
        <v>11552</v>
      </c>
      <c r="G84" s="14"/>
    </row>
    <row r="85" spans="1:7" x14ac:dyDescent="0.25">
      <c r="A85" s="15" t="s">
        <v>35</v>
      </c>
      <c r="B85" s="17">
        <v>3434</v>
      </c>
      <c r="C85" s="17">
        <v>3548</v>
      </c>
      <c r="D85" s="17">
        <v>3936</v>
      </c>
      <c r="E85" s="17">
        <v>2864</v>
      </c>
      <c r="F85" s="17">
        <v>13782</v>
      </c>
      <c r="G85" s="14"/>
    </row>
    <row r="86" spans="1:7" x14ac:dyDescent="0.25">
      <c r="A86" s="15" t="s">
        <v>57</v>
      </c>
      <c r="B86" s="17">
        <v>0</v>
      </c>
      <c r="C86" s="17">
        <v>0</v>
      </c>
      <c r="D86" s="17">
        <v>0</v>
      </c>
      <c r="E86" s="17">
        <v>0</v>
      </c>
      <c r="F86" s="17">
        <v>0</v>
      </c>
      <c r="G86" s="14"/>
    </row>
    <row r="87" spans="1:7" x14ac:dyDescent="0.25">
      <c r="A87" s="15" t="s">
        <v>58</v>
      </c>
      <c r="B87" s="17">
        <v>1706</v>
      </c>
      <c r="C87" s="17">
        <v>2313</v>
      </c>
      <c r="D87" s="17">
        <v>2644</v>
      </c>
      <c r="E87" s="17">
        <v>2413</v>
      </c>
      <c r="F87" s="17">
        <v>9076</v>
      </c>
      <c r="G87" s="14"/>
    </row>
    <row r="88" spans="1:7" x14ac:dyDescent="0.25">
      <c r="A88" s="15" t="s">
        <v>59</v>
      </c>
      <c r="B88" s="17">
        <v>4822</v>
      </c>
      <c r="C88" s="17">
        <v>4743</v>
      </c>
      <c r="D88" s="17">
        <v>6173</v>
      </c>
      <c r="E88" s="17">
        <v>7613</v>
      </c>
      <c r="F88" s="22">
        <v>23351</v>
      </c>
      <c r="G88" s="14"/>
    </row>
    <row r="89" spans="1:7" x14ac:dyDescent="0.25">
      <c r="A89" s="15" t="s">
        <v>171</v>
      </c>
      <c r="B89" s="17">
        <v>1339</v>
      </c>
      <c r="C89" s="17">
        <v>1098</v>
      </c>
      <c r="D89" s="17">
        <v>978</v>
      </c>
      <c r="E89" s="17">
        <v>1971</v>
      </c>
      <c r="F89" s="17">
        <v>5386</v>
      </c>
      <c r="G89" s="14"/>
    </row>
    <row r="90" spans="1:7" x14ac:dyDescent="0.25">
      <c r="A90" s="15" t="s">
        <v>60</v>
      </c>
      <c r="B90" s="17">
        <v>971</v>
      </c>
      <c r="C90" s="17">
        <v>869</v>
      </c>
      <c r="D90" s="17">
        <v>838</v>
      </c>
      <c r="E90" s="17">
        <v>1041</v>
      </c>
      <c r="F90" s="17">
        <v>3719</v>
      </c>
      <c r="G90" s="14"/>
    </row>
    <row r="91" spans="1:7" x14ac:dyDescent="0.25">
      <c r="A91" s="18" t="s">
        <v>41</v>
      </c>
      <c r="B91" s="19">
        <v>15467</v>
      </c>
      <c r="C91" s="19">
        <v>16231</v>
      </c>
      <c r="D91" s="19">
        <v>17109</v>
      </c>
      <c r="E91" s="19">
        <v>18059</v>
      </c>
      <c r="F91" s="19">
        <v>66866</v>
      </c>
      <c r="G91" s="14"/>
    </row>
    <row r="92" spans="1:7" x14ac:dyDescent="0.25">
      <c r="G92" s="14"/>
    </row>
    <row r="93" spans="1:7" x14ac:dyDescent="0.25">
      <c r="G93" s="14"/>
    </row>
    <row r="94" spans="1:7" ht="13" x14ac:dyDescent="0.3">
      <c r="A94" s="12" t="s">
        <v>172</v>
      </c>
      <c r="B94" s="13" t="s">
        <v>51</v>
      </c>
      <c r="C94" s="13" t="s">
        <v>52</v>
      </c>
      <c r="D94" s="13" t="s">
        <v>53</v>
      </c>
      <c r="E94" s="13" t="s">
        <v>54</v>
      </c>
      <c r="F94" s="13" t="s">
        <v>20</v>
      </c>
      <c r="G94" s="14"/>
    </row>
    <row r="95" spans="1:7" x14ac:dyDescent="0.25">
      <c r="A95" s="15" t="s">
        <v>27</v>
      </c>
      <c r="B95" s="17">
        <v>27616</v>
      </c>
      <c r="C95" s="17">
        <v>30313</v>
      </c>
      <c r="D95" s="17">
        <v>28816</v>
      </c>
      <c r="E95" s="17">
        <v>27901</v>
      </c>
      <c r="F95" s="17">
        <v>114646</v>
      </c>
      <c r="G95" s="14"/>
    </row>
    <row r="96" spans="1:7" x14ac:dyDescent="0.25">
      <c r="A96" s="15" t="s">
        <v>31</v>
      </c>
      <c r="B96" s="17">
        <v>7022</v>
      </c>
      <c r="C96" s="17">
        <v>6615</v>
      </c>
      <c r="D96" s="17">
        <v>7449</v>
      </c>
      <c r="E96" s="17">
        <v>7957</v>
      </c>
      <c r="F96" s="22">
        <v>29043</v>
      </c>
      <c r="G96" s="14"/>
    </row>
    <row r="97" spans="1:7" x14ac:dyDescent="0.25">
      <c r="A97" s="15" t="s">
        <v>30</v>
      </c>
      <c r="B97" s="17">
        <v>4353</v>
      </c>
      <c r="C97" s="17">
        <v>4583</v>
      </c>
      <c r="D97" s="17">
        <v>4228</v>
      </c>
      <c r="E97" s="17">
        <v>4226</v>
      </c>
      <c r="F97" s="17">
        <v>17390</v>
      </c>
      <c r="G97" s="14"/>
    </row>
    <row r="98" spans="1:7" x14ac:dyDescent="0.25">
      <c r="A98" s="15" t="s">
        <v>22</v>
      </c>
      <c r="B98" s="17">
        <v>14053</v>
      </c>
      <c r="C98" s="17">
        <v>16315</v>
      </c>
      <c r="D98" s="17">
        <v>16430</v>
      </c>
      <c r="E98" s="17">
        <v>16800</v>
      </c>
      <c r="F98" s="17">
        <v>63598</v>
      </c>
      <c r="G98" s="14"/>
    </row>
    <row r="99" spans="1:7" x14ac:dyDescent="0.25">
      <c r="A99" s="15" t="s">
        <v>21</v>
      </c>
      <c r="B99" s="17">
        <v>17037</v>
      </c>
      <c r="C99" s="17">
        <v>15593</v>
      </c>
      <c r="D99" s="17">
        <v>15581</v>
      </c>
      <c r="E99" s="17">
        <v>17988</v>
      </c>
      <c r="F99" s="17">
        <v>66199</v>
      </c>
      <c r="G99" s="14"/>
    </row>
    <row r="100" spans="1:7" x14ac:dyDescent="0.25">
      <c r="A100" s="15" t="s">
        <v>23</v>
      </c>
      <c r="B100" s="17">
        <v>4909</v>
      </c>
      <c r="C100" s="17">
        <v>6208</v>
      </c>
      <c r="D100" s="17">
        <v>7509</v>
      </c>
      <c r="E100" s="17">
        <v>7944</v>
      </c>
      <c r="F100" s="17">
        <v>26570</v>
      </c>
      <c r="G100" s="14"/>
    </row>
    <row r="101" spans="1:7" x14ac:dyDescent="0.25">
      <c r="A101" s="15" t="s">
        <v>24</v>
      </c>
      <c r="B101" s="17">
        <v>11537</v>
      </c>
      <c r="C101" s="17">
        <v>10703</v>
      </c>
      <c r="D101" s="17">
        <v>12018</v>
      </c>
      <c r="E101" s="17">
        <v>13163</v>
      </c>
      <c r="F101" s="17">
        <v>47421</v>
      </c>
      <c r="G101" s="14"/>
    </row>
    <row r="102" spans="1:7" x14ac:dyDescent="0.25">
      <c r="A102" s="18" t="s">
        <v>65</v>
      </c>
      <c r="B102" s="19">
        <v>86527</v>
      </c>
      <c r="C102" s="19">
        <v>90330</v>
      </c>
      <c r="D102" s="19">
        <v>92031</v>
      </c>
      <c r="E102" s="19">
        <v>95979</v>
      </c>
      <c r="F102" s="19">
        <v>364867</v>
      </c>
      <c r="G102" s="14"/>
    </row>
    <row r="103" spans="1:7" x14ac:dyDescent="0.25">
      <c r="G103" s="14"/>
    </row>
    <row r="104" spans="1:7" ht="13" x14ac:dyDescent="0.3">
      <c r="B104" s="13" t="s">
        <v>51</v>
      </c>
      <c r="C104" s="13" t="s">
        <v>52</v>
      </c>
      <c r="D104" s="13" t="s">
        <v>53</v>
      </c>
      <c r="E104" s="13" t="s">
        <v>54</v>
      </c>
      <c r="F104" s="13" t="s">
        <v>20</v>
      </c>
      <c r="G104" s="14"/>
    </row>
    <row r="105" spans="1:7" x14ac:dyDescent="0.25">
      <c r="A105" s="12" t="s">
        <v>170</v>
      </c>
      <c r="B105" s="19">
        <v>101994</v>
      </c>
      <c r="C105" s="19">
        <v>106561</v>
      </c>
      <c r="D105" s="19">
        <v>109140</v>
      </c>
      <c r="E105" s="19">
        <v>114038</v>
      </c>
      <c r="F105" s="19">
        <v>431733</v>
      </c>
      <c r="G105" s="14"/>
    </row>
    <row r="106" spans="1:7" x14ac:dyDescent="0.25">
      <c r="A106" s="35"/>
      <c r="B106" s="24"/>
      <c r="C106" s="24"/>
      <c r="D106" s="24"/>
      <c r="E106" s="24"/>
      <c r="F106" s="24"/>
      <c r="G106" s="14"/>
    </row>
    <row r="107" spans="1:7" ht="13" x14ac:dyDescent="0.3">
      <c r="A107" s="12" t="s">
        <v>75</v>
      </c>
      <c r="B107" s="13" t="s">
        <v>51</v>
      </c>
      <c r="C107" s="13" t="s">
        <v>52</v>
      </c>
      <c r="D107" s="13" t="s">
        <v>53</v>
      </c>
      <c r="E107" s="13" t="s">
        <v>54</v>
      </c>
      <c r="F107" s="13" t="s">
        <v>20</v>
      </c>
      <c r="G107" s="14"/>
    </row>
    <row r="108" spans="1:7" x14ac:dyDescent="0.25">
      <c r="A108" s="36" t="s">
        <v>76</v>
      </c>
      <c r="B108" s="37">
        <v>2862</v>
      </c>
      <c r="C108" s="37">
        <v>2964</v>
      </c>
      <c r="D108" s="37">
        <v>3295</v>
      </c>
      <c r="E108" s="37">
        <v>2013</v>
      </c>
      <c r="F108" s="43">
        <v>11134</v>
      </c>
      <c r="G108" s="14"/>
    </row>
    <row r="109" spans="1:7" x14ac:dyDescent="0.25">
      <c r="A109" s="36" t="s">
        <v>77</v>
      </c>
      <c r="B109" s="37">
        <v>2811</v>
      </c>
      <c r="C109" s="37">
        <v>3283</v>
      </c>
      <c r="D109" s="37">
        <v>2031</v>
      </c>
      <c r="E109" s="37">
        <v>1651</v>
      </c>
      <c r="F109" s="43">
        <v>9776</v>
      </c>
      <c r="G109" s="14"/>
    </row>
    <row r="110" spans="1:7" x14ac:dyDescent="0.25">
      <c r="A110" s="36" t="s">
        <v>78</v>
      </c>
      <c r="B110" s="37">
        <v>0</v>
      </c>
      <c r="C110" s="37">
        <v>249</v>
      </c>
      <c r="D110" s="37">
        <v>787</v>
      </c>
      <c r="E110" s="37">
        <v>359</v>
      </c>
      <c r="F110" s="43">
        <v>1395</v>
      </c>
      <c r="G110" s="14"/>
    </row>
    <row r="111" spans="1:7" x14ac:dyDescent="0.25">
      <c r="A111" s="36" t="s">
        <v>63</v>
      </c>
      <c r="B111" s="37">
        <v>3158</v>
      </c>
      <c r="C111" s="37">
        <v>2961</v>
      </c>
      <c r="D111" s="37">
        <v>3399</v>
      </c>
      <c r="E111" s="37">
        <v>2911</v>
      </c>
      <c r="F111" s="43">
        <v>12429</v>
      </c>
      <c r="G111" s="14"/>
    </row>
    <row r="112" spans="1:7" x14ac:dyDescent="0.25">
      <c r="A112" s="36" t="s">
        <v>64</v>
      </c>
      <c r="B112" s="37">
        <v>4040</v>
      </c>
      <c r="C112" s="37">
        <v>3655</v>
      </c>
      <c r="D112" s="37">
        <v>3889</v>
      </c>
      <c r="E112" s="37">
        <v>3817</v>
      </c>
      <c r="F112" s="43">
        <v>15401</v>
      </c>
      <c r="G112" s="58"/>
    </row>
    <row r="113" spans="1:7" x14ac:dyDescent="0.25">
      <c r="D113" s="31"/>
    </row>
    <row r="114" spans="1:7" s="44" customFormat="1" x14ac:dyDescent="0.25">
      <c r="A114" s="27"/>
      <c r="B114" s="27"/>
      <c r="C114" s="28"/>
      <c r="D114" s="28"/>
      <c r="E114" s="28"/>
      <c r="F114" s="28"/>
    </row>
    <row r="116" spans="1:7" ht="13" x14ac:dyDescent="0.3">
      <c r="A116" s="11" t="s">
        <v>66</v>
      </c>
    </row>
    <row r="118" spans="1:7" ht="13" x14ac:dyDescent="0.3">
      <c r="A118" s="12" t="s">
        <v>169</v>
      </c>
      <c r="B118" s="13" t="s">
        <v>67</v>
      </c>
      <c r="C118" s="13" t="s">
        <v>68</v>
      </c>
      <c r="D118" s="13" t="s">
        <v>69</v>
      </c>
      <c r="E118" s="13" t="s">
        <v>70</v>
      </c>
      <c r="F118" s="13" t="s">
        <v>20</v>
      </c>
      <c r="G118" s="14"/>
    </row>
    <row r="119" spans="1:7" x14ac:dyDescent="0.25">
      <c r="A119" s="15" t="s">
        <v>34</v>
      </c>
      <c r="B119" s="17">
        <v>2764</v>
      </c>
      <c r="C119" s="17">
        <v>2998</v>
      </c>
      <c r="D119" s="17">
        <v>2851</v>
      </c>
      <c r="E119" s="17">
        <v>2758</v>
      </c>
      <c r="F119" s="17">
        <f t="shared" ref="F119:F125" si="10">B119+C119+D119+E119</f>
        <v>11371</v>
      </c>
      <c r="G119" s="14"/>
    </row>
    <row r="120" spans="1:7" x14ac:dyDescent="0.25">
      <c r="A120" s="15" t="s">
        <v>35</v>
      </c>
      <c r="B120" s="17">
        <v>2352</v>
      </c>
      <c r="C120" s="17">
        <v>3106</v>
      </c>
      <c r="D120" s="17">
        <v>2787</v>
      </c>
      <c r="E120" s="17">
        <v>2880</v>
      </c>
      <c r="F120" s="17">
        <f t="shared" si="10"/>
        <v>11125</v>
      </c>
      <c r="G120" s="14"/>
    </row>
    <row r="121" spans="1:7" x14ac:dyDescent="0.25">
      <c r="A121" s="15" t="s">
        <v>57</v>
      </c>
      <c r="B121" s="17">
        <v>1</v>
      </c>
      <c r="C121" s="17">
        <v>7</v>
      </c>
      <c r="D121" s="17">
        <v>0</v>
      </c>
      <c r="E121" s="17">
        <v>0</v>
      </c>
      <c r="F121" s="17">
        <f t="shared" si="10"/>
        <v>8</v>
      </c>
      <c r="G121" s="14"/>
    </row>
    <row r="122" spans="1:7" x14ac:dyDescent="0.25">
      <c r="A122" s="15" t="s">
        <v>58</v>
      </c>
      <c r="B122" s="17">
        <v>1981</v>
      </c>
      <c r="C122" s="17">
        <v>2082</v>
      </c>
      <c r="D122" s="17">
        <v>954</v>
      </c>
      <c r="E122" s="17">
        <v>1234</v>
      </c>
      <c r="F122" s="17">
        <f t="shared" si="10"/>
        <v>6251</v>
      </c>
      <c r="G122" s="14"/>
    </row>
    <row r="123" spans="1:7" x14ac:dyDescent="0.25">
      <c r="A123" s="15" t="s">
        <v>59</v>
      </c>
      <c r="B123" s="17">
        <v>4797</v>
      </c>
      <c r="C123" s="17">
        <v>6185</v>
      </c>
      <c r="D123" s="17">
        <v>5884</v>
      </c>
      <c r="E123" s="17">
        <v>6205</v>
      </c>
      <c r="F123" s="22">
        <f t="shared" si="10"/>
        <v>23071</v>
      </c>
      <c r="G123" s="14"/>
    </row>
    <row r="124" spans="1:7" x14ac:dyDescent="0.25">
      <c r="A124" s="15" t="s">
        <v>171</v>
      </c>
      <c r="B124" s="17">
        <v>2175</v>
      </c>
      <c r="C124" s="17">
        <v>1972</v>
      </c>
      <c r="D124" s="17">
        <v>1146</v>
      </c>
      <c r="E124" s="17">
        <v>1459</v>
      </c>
      <c r="F124" s="17">
        <f t="shared" si="10"/>
        <v>6752</v>
      </c>
      <c r="G124" s="14"/>
    </row>
    <row r="125" spans="1:7" x14ac:dyDescent="0.25">
      <c r="A125" s="15" t="s">
        <v>60</v>
      </c>
      <c r="B125" s="33">
        <v>1137</v>
      </c>
      <c r="C125" s="17">
        <v>990</v>
      </c>
      <c r="D125" s="17">
        <v>918</v>
      </c>
      <c r="E125" s="17">
        <v>898</v>
      </c>
      <c r="F125" s="17">
        <f t="shared" si="10"/>
        <v>3943</v>
      </c>
      <c r="G125" s="14"/>
    </row>
    <row r="126" spans="1:7" x14ac:dyDescent="0.25">
      <c r="A126" s="18" t="s">
        <v>41</v>
      </c>
      <c r="B126" s="19">
        <f>SUM(B119:B125)</f>
        <v>15207</v>
      </c>
      <c r="C126" s="19">
        <f>SUM(C119:C125)</f>
        <v>17340</v>
      </c>
      <c r="D126" s="19">
        <f>SUM(D119:D125)</f>
        <v>14540</v>
      </c>
      <c r="E126" s="19">
        <f>SUM(E119:E125)</f>
        <v>15434</v>
      </c>
      <c r="F126" s="19">
        <f>SUM(F119:F125)</f>
        <v>62521</v>
      </c>
      <c r="G126" s="14"/>
    </row>
    <row r="127" spans="1:7" x14ac:dyDescent="0.25">
      <c r="G127" s="14"/>
    </row>
    <row r="128" spans="1:7" x14ac:dyDescent="0.25">
      <c r="G128" s="14"/>
    </row>
    <row r="129" spans="1:7" ht="13" x14ac:dyDescent="0.3">
      <c r="A129" s="12" t="s">
        <v>172</v>
      </c>
      <c r="B129" s="13" t="str">
        <f>B118</f>
        <v>Q1 FY 23</v>
      </c>
      <c r="C129" s="13" t="str">
        <f>C118</f>
        <v>Q2 FY 23</v>
      </c>
      <c r="D129" s="13" t="str">
        <f>D118</f>
        <v>Q3 FY 23</v>
      </c>
      <c r="E129" s="13" t="str">
        <f>E118</f>
        <v>Q4 FY 23</v>
      </c>
      <c r="F129" s="13" t="str">
        <f>F118</f>
        <v>YTD</v>
      </c>
      <c r="G129" s="14"/>
    </row>
    <row r="130" spans="1:7" x14ac:dyDescent="0.25">
      <c r="A130" s="15" t="s">
        <v>27</v>
      </c>
      <c r="B130" s="17">
        <v>14526</v>
      </c>
      <c r="C130" s="17">
        <v>16892</v>
      </c>
      <c r="D130" s="17">
        <v>19841</v>
      </c>
      <c r="E130" s="17">
        <v>23622</v>
      </c>
      <c r="F130" s="17">
        <f>B130+C130+D130+E130</f>
        <v>74881</v>
      </c>
      <c r="G130" s="14"/>
    </row>
    <row r="131" spans="1:7" x14ac:dyDescent="0.25">
      <c r="A131" s="15" t="s">
        <v>31</v>
      </c>
      <c r="B131" s="17">
        <v>9059</v>
      </c>
      <c r="C131" s="17">
        <v>10062</v>
      </c>
      <c r="D131" s="17">
        <v>7755</v>
      </c>
      <c r="E131" s="17">
        <v>9336</v>
      </c>
      <c r="F131" s="22">
        <f t="shared" ref="F131:F136" si="11">B131+C131+D131+E131</f>
        <v>36212</v>
      </c>
      <c r="G131" s="14"/>
    </row>
    <row r="132" spans="1:7" x14ac:dyDescent="0.25">
      <c r="A132" s="15" t="s">
        <v>30</v>
      </c>
      <c r="B132" s="17">
        <v>3035</v>
      </c>
      <c r="C132" s="17">
        <v>3521</v>
      </c>
      <c r="D132" s="17">
        <v>1957</v>
      </c>
      <c r="E132" s="17">
        <v>3586</v>
      </c>
      <c r="F132" s="17">
        <f t="shared" si="11"/>
        <v>12099</v>
      </c>
      <c r="G132" s="14"/>
    </row>
    <row r="133" spans="1:7" x14ac:dyDescent="0.25">
      <c r="A133" s="15" t="s">
        <v>22</v>
      </c>
      <c r="B133" s="17">
        <v>9920</v>
      </c>
      <c r="C133" s="17">
        <v>5216</v>
      </c>
      <c r="D133" s="17">
        <v>8384</v>
      </c>
      <c r="E133" s="17">
        <v>11269</v>
      </c>
      <c r="F133" s="17">
        <f t="shared" si="11"/>
        <v>34789</v>
      </c>
      <c r="G133" s="14"/>
    </row>
    <row r="134" spans="1:7" x14ac:dyDescent="0.25">
      <c r="A134" s="15" t="s">
        <v>21</v>
      </c>
      <c r="B134" s="17">
        <v>5695</v>
      </c>
      <c r="C134" s="17">
        <v>10717</v>
      </c>
      <c r="D134" s="17">
        <v>14076</v>
      </c>
      <c r="E134" s="17">
        <v>18745</v>
      </c>
      <c r="F134" s="17">
        <f t="shared" si="11"/>
        <v>49233</v>
      </c>
      <c r="G134" s="14"/>
    </row>
    <row r="135" spans="1:7" x14ac:dyDescent="0.25">
      <c r="A135" s="15" t="s">
        <v>23</v>
      </c>
      <c r="B135" s="17">
        <v>6723</v>
      </c>
      <c r="C135" s="17">
        <v>8118</v>
      </c>
      <c r="D135" s="17">
        <v>7071</v>
      </c>
      <c r="E135" s="17">
        <v>7933</v>
      </c>
      <c r="F135" s="17">
        <f t="shared" si="11"/>
        <v>29845</v>
      </c>
      <c r="G135" s="14"/>
    </row>
    <row r="136" spans="1:7" x14ac:dyDescent="0.25">
      <c r="A136" s="15" t="s">
        <v>24</v>
      </c>
      <c r="B136" s="34">
        <v>14660</v>
      </c>
      <c r="C136" s="17">
        <v>16255</v>
      </c>
      <c r="D136" s="17">
        <v>11203</v>
      </c>
      <c r="E136" s="17">
        <v>12964</v>
      </c>
      <c r="F136" s="17">
        <f t="shared" si="11"/>
        <v>55082</v>
      </c>
      <c r="G136" s="14"/>
    </row>
    <row r="137" spans="1:7" x14ac:dyDescent="0.25">
      <c r="A137" s="18" t="s">
        <v>65</v>
      </c>
      <c r="B137" s="19">
        <f>SUM(B130:B136)</f>
        <v>63618</v>
      </c>
      <c r="C137" s="19">
        <f>SUM(C130:C136)</f>
        <v>70781</v>
      </c>
      <c r="D137" s="19">
        <f>SUM(D130:D136)</f>
        <v>70287</v>
      </c>
      <c r="E137" s="19">
        <f>SUM(E130:E136)</f>
        <v>87455</v>
      </c>
      <c r="F137" s="19">
        <f>SUM(F130:F136)</f>
        <v>292141</v>
      </c>
      <c r="G137" s="14"/>
    </row>
    <row r="138" spans="1:7" x14ac:dyDescent="0.25">
      <c r="G138" s="14"/>
    </row>
    <row r="139" spans="1:7" ht="13" x14ac:dyDescent="0.3">
      <c r="B139" s="13" t="str">
        <f>B129</f>
        <v>Q1 FY 23</v>
      </c>
      <c r="C139" s="13" t="str">
        <f>C129</f>
        <v>Q2 FY 23</v>
      </c>
      <c r="D139" s="13" t="str">
        <f>D129</f>
        <v>Q3 FY 23</v>
      </c>
      <c r="E139" s="13" t="str">
        <f>E129</f>
        <v>Q4 FY 23</v>
      </c>
      <c r="F139" s="13" t="str">
        <f>F129</f>
        <v>YTD</v>
      </c>
      <c r="G139" s="14"/>
    </row>
    <row r="140" spans="1:7" x14ac:dyDescent="0.25">
      <c r="A140" s="12" t="s">
        <v>170</v>
      </c>
      <c r="B140" s="19">
        <f>B137+B126</f>
        <v>78825</v>
      </c>
      <c r="C140" s="19">
        <f>C137+C126</f>
        <v>88121</v>
      </c>
      <c r="D140" s="19">
        <f>D137+D126</f>
        <v>84827</v>
      </c>
      <c r="E140" s="19">
        <f>E137+E126</f>
        <v>102889</v>
      </c>
      <c r="F140" s="19">
        <f>F137+F126</f>
        <v>354662</v>
      </c>
      <c r="G140" s="14"/>
    </row>
    <row r="141" spans="1:7" x14ac:dyDescent="0.25">
      <c r="A141" s="35"/>
      <c r="B141" s="24"/>
      <c r="C141" s="24"/>
      <c r="D141" s="24"/>
      <c r="E141" s="24"/>
      <c r="F141" s="24"/>
      <c r="G141" s="14"/>
    </row>
    <row r="142" spans="1:7" ht="13" x14ac:dyDescent="0.3">
      <c r="A142" s="12" t="s">
        <v>75</v>
      </c>
      <c r="B142" s="13" t="str">
        <f>B118</f>
        <v>Q1 FY 23</v>
      </c>
      <c r="C142" s="13" t="str">
        <f>C118</f>
        <v>Q2 FY 23</v>
      </c>
      <c r="D142" s="13" t="str">
        <f>D118</f>
        <v>Q3 FY 23</v>
      </c>
      <c r="E142" s="13" t="str">
        <f>E118</f>
        <v>Q4 FY 23</v>
      </c>
      <c r="F142" s="13" t="str">
        <f>F118</f>
        <v>YTD</v>
      </c>
      <c r="G142" s="14"/>
    </row>
    <row r="143" spans="1:7" x14ac:dyDescent="0.25">
      <c r="A143" s="36" t="s">
        <v>76</v>
      </c>
      <c r="B143" s="37">
        <v>2050</v>
      </c>
      <c r="C143" s="37">
        <v>3005</v>
      </c>
      <c r="D143" s="37">
        <v>2562</v>
      </c>
      <c r="E143" s="37">
        <v>2196</v>
      </c>
      <c r="F143" s="43">
        <f>SUM(B143:E143)</f>
        <v>9813</v>
      </c>
      <c r="G143" s="14"/>
    </row>
    <row r="144" spans="1:7" x14ac:dyDescent="0.25">
      <c r="A144" s="36" t="s">
        <v>77</v>
      </c>
      <c r="B144" s="37">
        <v>2581</v>
      </c>
      <c r="C144" s="37">
        <v>2906</v>
      </c>
      <c r="D144" s="37">
        <v>2680</v>
      </c>
      <c r="E144" s="37">
        <v>2278</v>
      </c>
      <c r="F144" s="43">
        <f>SUM(B144:E144)</f>
        <v>10445</v>
      </c>
      <c r="G144" s="14"/>
    </row>
    <row r="145" spans="1:8" x14ac:dyDescent="0.25">
      <c r="A145" s="36" t="s">
        <v>78</v>
      </c>
      <c r="B145" s="37">
        <v>0</v>
      </c>
      <c r="C145" s="37">
        <v>0</v>
      </c>
      <c r="D145" s="37">
        <v>0</v>
      </c>
      <c r="E145" s="37">
        <v>0</v>
      </c>
      <c r="F145" s="43">
        <f>SUM(B145:E145)</f>
        <v>0</v>
      </c>
      <c r="G145" s="14"/>
    </row>
    <row r="146" spans="1:8" x14ac:dyDescent="0.25">
      <c r="A146" s="36" t="s">
        <v>63</v>
      </c>
      <c r="B146" s="37">
        <v>3182</v>
      </c>
      <c r="C146" s="37">
        <v>4381</v>
      </c>
      <c r="D146" s="37">
        <v>3574</v>
      </c>
      <c r="E146" s="37">
        <v>4356</v>
      </c>
      <c r="F146" s="43">
        <f>SUM(B146:E146)</f>
        <v>15493</v>
      </c>
      <c r="G146" s="14"/>
    </row>
    <row r="147" spans="1:8" x14ac:dyDescent="0.25">
      <c r="A147" s="36" t="s">
        <v>64</v>
      </c>
      <c r="B147" s="37">
        <v>3188</v>
      </c>
      <c r="C147" s="37">
        <v>4919</v>
      </c>
      <c r="D147" s="37">
        <v>3209</v>
      </c>
      <c r="E147" s="37">
        <v>3837</v>
      </c>
      <c r="F147" s="43">
        <f>SUM(B147:E147)</f>
        <v>15153</v>
      </c>
      <c r="G147" s="58"/>
    </row>
    <row r="148" spans="1:8" x14ac:dyDescent="0.25">
      <c r="D148" s="31"/>
    </row>
    <row r="149" spans="1:8" s="44" customFormat="1" x14ac:dyDescent="0.25">
      <c r="A149" s="27"/>
      <c r="B149" s="27"/>
      <c r="C149" s="28"/>
      <c r="D149" s="28"/>
      <c r="E149" s="28"/>
      <c r="F149" s="28"/>
    </row>
    <row r="151" spans="1:8" x14ac:dyDescent="0.25">
      <c r="A151" s="47" t="s">
        <v>165</v>
      </c>
    </row>
    <row r="153" spans="1:8" ht="13" x14ac:dyDescent="0.3">
      <c r="A153" s="11" t="s">
        <v>79</v>
      </c>
    </row>
    <row r="155" spans="1:8" ht="13" x14ac:dyDescent="0.3">
      <c r="A155" s="12" t="s">
        <v>169</v>
      </c>
      <c r="B155" s="13" t="s">
        <v>80</v>
      </c>
      <c r="C155" s="13" t="s">
        <v>81</v>
      </c>
      <c r="D155" s="13" t="s">
        <v>82</v>
      </c>
      <c r="E155" s="13" t="s">
        <v>83</v>
      </c>
      <c r="F155" s="13" t="s">
        <v>20</v>
      </c>
    </row>
    <row r="156" spans="1:8" x14ac:dyDescent="0.25">
      <c r="A156" s="15" t="s">
        <v>34</v>
      </c>
      <c r="B156" s="17">
        <v>4369</v>
      </c>
      <c r="C156" s="17">
        <v>4112</v>
      </c>
      <c r="D156" s="17">
        <v>2014</v>
      </c>
      <c r="E156" s="17">
        <v>2085</v>
      </c>
      <c r="F156" s="17">
        <f t="shared" ref="F156:F162" si="12">B156+C156+D156+E156</f>
        <v>12580</v>
      </c>
      <c r="G156" s="40"/>
      <c r="H156" s="40"/>
    </row>
    <row r="157" spans="1:8" x14ac:dyDescent="0.25">
      <c r="A157" s="15" t="s">
        <v>35</v>
      </c>
      <c r="B157" s="17">
        <v>2642</v>
      </c>
      <c r="C157" s="17">
        <v>2120</v>
      </c>
      <c r="D157" s="17">
        <v>2774</v>
      </c>
      <c r="E157" s="17">
        <v>2773</v>
      </c>
      <c r="F157" s="17">
        <f t="shared" si="12"/>
        <v>10309</v>
      </c>
      <c r="G157" s="40"/>
      <c r="H157" s="40"/>
    </row>
    <row r="158" spans="1:8" x14ac:dyDescent="0.25">
      <c r="A158" s="15" t="s">
        <v>57</v>
      </c>
      <c r="B158" s="17">
        <v>12</v>
      </c>
      <c r="C158" s="17">
        <v>2</v>
      </c>
      <c r="D158" s="17">
        <v>2</v>
      </c>
      <c r="E158" s="17">
        <v>1</v>
      </c>
      <c r="F158" s="17">
        <f t="shared" si="12"/>
        <v>17</v>
      </c>
      <c r="G158" s="40"/>
    </row>
    <row r="159" spans="1:8" x14ac:dyDescent="0.25">
      <c r="A159" s="15" t="s">
        <v>58</v>
      </c>
      <c r="B159" s="17">
        <v>7374</v>
      </c>
      <c r="C159" s="17">
        <v>3286</v>
      </c>
      <c r="D159" s="17">
        <v>2873</v>
      </c>
      <c r="E159" s="17">
        <v>2312</v>
      </c>
      <c r="F159" s="17">
        <f t="shared" si="12"/>
        <v>15845</v>
      </c>
      <c r="G159" s="40"/>
      <c r="H159" s="40"/>
    </row>
    <row r="160" spans="1:8" x14ac:dyDescent="0.25">
      <c r="A160" s="15" t="s">
        <v>59</v>
      </c>
      <c r="B160" s="17">
        <v>10457</v>
      </c>
      <c r="C160" s="17">
        <v>6149</v>
      </c>
      <c r="D160" s="17">
        <v>3459</v>
      </c>
      <c r="E160" s="17">
        <v>4251</v>
      </c>
      <c r="F160" s="22">
        <f t="shared" si="12"/>
        <v>24316</v>
      </c>
      <c r="G160" s="40"/>
      <c r="H160" s="40"/>
    </row>
    <row r="161" spans="1:8" x14ac:dyDescent="0.25">
      <c r="A161" s="15" t="s">
        <v>171</v>
      </c>
      <c r="B161" s="17">
        <v>2536</v>
      </c>
      <c r="C161" s="17">
        <v>2644</v>
      </c>
      <c r="D161" s="17">
        <v>2558</v>
      </c>
      <c r="E161" s="17">
        <v>2014</v>
      </c>
      <c r="F161" s="17">
        <f t="shared" si="12"/>
        <v>9752</v>
      </c>
      <c r="G161" s="40"/>
      <c r="H161" s="40"/>
    </row>
    <row r="162" spans="1:8" x14ac:dyDescent="0.25">
      <c r="A162" s="15" t="s">
        <v>60</v>
      </c>
      <c r="B162" s="33">
        <v>1762</v>
      </c>
      <c r="C162" s="17">
        <v>935</v>
      </c>
      <c r="D162" s="17">
        <v>727</v>
      </c>
      <c r="E162" s="17">
        <v>1138</v>
      </c>
      <c r="F162" s="17">
        <f t="shared" si="12"/>
        <v>4562</v>
      </c>
      <c r="G162" s="40"/>
      <c r="H162" s="40"/>
    </row>
    <row r="163" spans="1:8" x14ac:dyDescent="0.25">
      <c r="A163" s="18" t="s">
        <v>41</v>
      </c>
      <c r="B163" s="19">
        <f>SUM(B156:B162)</f>
        <v>29152</v>
      </c>
      <c r="C163" s="19">
        <f>SUM(C156:C162)</f>
        <v>19248</v>
      </c>
      <c r="D163" s="19">
        <f>SUM(D156:D162)</f>
        <v>14407</v>
      </c>
      <c r="E163" s="19">
        <f>SUM(E156:E162)</f>
        <v>14574</v>
      </c>
      <c r="F163" s="19">
        <f>SUM(F156:F162)</f>
        <v>77381</v>
      </c>
      <c r="G163" s="31"/>
    </row>
    <row r="166" spans="1:8" ht="13" x14ac:dyDescent="0.3">
      <c r="A166" s="12" t="s">
        <v>172</v>
      </c>
      <c r="B166" s="13" t="str">
        <f>B155</f>
        <v>Q1 FY 22</v>
      </c>
      <c r="C166" s="13" t="str">
        <f>C155</f>
        <v>Q2 FY 22</v>
      </c>
      <c r="D166" s="13" t="str">
        <f>D155</f>
        <v>Q3 FY 22</v>
      </c>
      <c r="E166" s="13" t="str">
        <f>E155</f>
        <v>Q4 FY 22</v>
      </c>
      <c r="F166" s="13" t="str">
        <f>F155</f>
        <v>YTD</v>
      </c>
    </row>
    <row r="167" spans="1:8" x14ac:dyDescent="0.25">
      <c r="A167" s="15" t="s">
        <v>27</v>
      </c>
      <c r="B167" s="17">
        <v>17194</v>
      </c>
      <c r="C167" s="17">
        <v>16725</v>
      </c>
      <c r="D167" s="17">
        <v>12252</v>
      </c>
      <c r="E167" s="17">
        <v>15546</v>
      </c>
      <c r="F167" s="17">
        <f>B167+C167+D167+E167</f>
        <v>61717</v>
      </c>
      <c r="H167" s="40"/>
    </row>
    <row r="168" spans="1:8" x14ac:dyDescent="0.25">
      <c r="A168" s="15" t="s">
        <v>31</v>
      </c>
      <c r="B168" s="17">
        <v>12910</v>
      </c>
      <c r="C168" s="17">
        <v>12131</v>
      </c>
      <c r="D168" s="17">
        <v>10596</v>
      </c>
      <c r="E168" s="17">
        <v>9912</v>
      </c>
      <c r="F168" s="22">
        <f t="shared" ref="F168:F173" si="13">B168+C168+D168+E168</f>
        <v>45549</v>
      </c>
      <c r="H168" s="40"/>
    </row>
    <row r="169" spans="1:8" x14ac:dyDescent="0.25">
      <c r="A169" s="15" t="s">
        <v>30</v>
      </c>
      <c r="B169" s="17">
        <v>6168</v>
      </c>
      <c r="C169" s="17">
        <v>5409</v>
      </c>
      <c r="D169" s="17">
        <v>2980</v>
      </c>
      <c r="E169" s="17">
        <v>2234</v>
      </c>
      <c r="F169" s="17">
        <f t="shared" si="13"/>
        <v>16791</v>
      </c>
      <c r="H169" s="40"/>
    </row>
    <row r="170" spans="1:8" x14ac:dyDescent="0.25">
      <c r="A170" s="15" t="s">
        <v>22</v>
      </c>
      <c r="B170" s="17">
        <v>16809</v>
      </c>
      <c r="C170" s="17">
        <v>9806</v>
      </c>
      <c r="D170" s="17">
        <v>10875</v>
      </c>
      <c r="E170" s="17">
        <v>12711</v>
      </c>
      <c r="F170" s="17">
        <f t="shared" si="13"/>
        <v>50201</v>
      </c>
      <c r="G170" s="40"/>
      <c r="H170" s="40"/>
    </row>
    <row r="171" spans="1:8" x14ac:dyDescent="0.25">
      <c r="A171" s="15" t="s">
        <v>21</v>
      </c>
      <c r="B171" s="17">
        <v>12300</v>
      </c>
      <c r="C171" s="17">
        <v>8099</v>
      </c>
      <c r="D171" s="17">
        <v>10861</v>
      </c>
      <c r="E171" s="17">
        <v>6216</v>
      </c>
      <c r="F171" s="17">
        <f t="shared" si="13"/>
        <v>37476</v>
      </c>
      <c r="G171" s="40"/>
      <c r="H171" s="40"/>
    </row>
    <row r="172" spans="1:8" x14ac:dyDescent="0.25">
      <c r="A172" s="15" t="s">
        <v>23</v>
      </c>
      <c r="B172" s="17">
        <v>12382</v>
      </c>
      <c r="C172" s="17">
        <v>8679</v>
      </c>
      <c r="D172" s="17">
        <v>5056</v>
      </c>
      <c r="E172" s="17">
        <v>5756</v>
      </c>
      <c r="F172" s="17">
        <f t="shared" si="13"/>
        <v>31873</v>
      </c>
      <c r="H172" s="40"/>
    </row>
    <row r="173" spans="1:8" x14ac:dyDescent="0.25">
      <c r="A173" s="15" t="s">
        <v>24</v>
      </c>
      <c r="B173" s="34">
        <v>17622</v>
      </c>
      <c r="C173" s="17">
        <v>12613</v>
      </c>
      <c r="D173" s="17">
        <v>13099</v>
      </c>
      <c r="E173" s="17">
        <v>12059</v>
      </c>
      <c r="F173" s="17">
        <f t="shared" si="13"/>
        <v>55393</v>
      </c>
      <c r="H173" s="40"/>
    </row>
    <row r="174" spans="1:8" x14ac:dyDescent="0.25">
      <c r="A174" s="18" t="s">
        <v>65</v>
      </c>
      <c r="B174" s="19">
        <f>SUM(B167:B173)</f>
        <v>95385</v>
      </c>
      <c r="C174" s="19">
        <f>SUM(C167:C173)</f>
        <v>73462</v>
      </c>
      <c r="D174" s="19">
        <f>SUM(D167:D173)</f>
        <v>65719</v>
      </c>
      <c r="E174" s="19">
        <f>SUM(E167:E173)</f>
        <v>64434</v>
      </c>
      <c r="F174" s="19">
        <f>SUM(F167:F173)</f>
        <v>299000</v>
      </c>
      <c r="G174" s="31"/>
    </row>
    <row r="176" spans="1:8" ht="13" x14ac:dyDescent="0.3">
      <c r="B176" s="13" t="str">
        <f>B166</f>
        <v>Q1 FY 22</v>
      </c>
      <c r="C176" s="13" t="str">
        <f>C166</f>
        <v>Q2 FY 22</v>
      </c>
      <c r="D176" s="13" t="str">
        <f>D166</f>
        <v>Q3 FY 22</v>
      </c>
      <c r="E176" s="13" t="str">
        <f>E166</f>
        <v>Q4 FY 22</v>
      </c>
      <c r="F176" s="13" t="str">
        <f>F166</f>
        <v>YTD</v>
      </c>
    </row>
    <row r="177" spans="1:8" x14ac:dyDescent="0.25">
      <c r="A177" s="12" t="s">
        <v>170</v>
      </c>
      <c r="B177" s="19">
        <f>B174+B163</f>
        <v>124537</v>
      </c>
      <c r="C177" s="19">
        <f>C174+C163</f>
        <v>92710</v>
      </c>
      <c r="D177" s="19">
        <f>D174+D163</f>
        <v>80126</v>
      </c>
      <c r="E177" s="19">
        <f>E174+E163</f>
        <v>79008</v>
      </c>
      <c r="F177" s="19">
        <f>F174+F163</f>
        <v>376381</v>
      </c>
      <c r="G177" s="31"/>
    </row>
    <row r="178" spans="1:8" x14ac:dyDescent="0.25">
      <c r="A178" s="35"/>
      <c r="B178" s="24"/>
      <c r="C178" s="24"/>
      <c r="D178" s="24"/>
      <c r="E178" s="24"/>
      <c r="F178" s="24"/>
    </row>
    <row r="179" spans="1:8" ht="13" x14ac:dyDescent="0.3">
      <c r="A179" s="12" t="s">
        <v>75</v>
      </c>
      <c r="B179" s="13" t="str">
        <f>B155</f>
        <v>Q1 FY 22</v>
      </c>
      <c r="C179" s="13" t="str">
        <f>C155</f>
        <v>Q2 FY 22</v>
      </c>
      <c r="D179" s="13" t="str">
        <f>D155</f>
        <v>Q3 FY 22</v>
      </c>
      <c r="E179" s="13" t="str">
        <f>E155</f>
        <v>Q4 FY 22</v>
      </c>
      <c r="F179" s="13" t="str">
        <f>F155</f>
        <v>YTD</v>
      </c>
    </row>
    <row r="180" spans="1:8" x14ac:dyDescent="0.25">
      <c r="A180" s="36" t="s">
        <v>76</v>
      </c>
      <c r="B180" s="37">
        <v>1556</v>
      </c>
      <c r="C180" s="37">
        <v>1549</v>
      </c>
      <c r="D180" s="37">
        <v>2432</v>
      </c>
      <c r="E180" s="37">
        <v>1754</v>
      </c>
      <c r="F180" s="43">
        <f>SUM(B180:E180)</f>
        <v>7291</v>
      </c>
      <c r="G180" s="40"/>
      <c r="H180" s="40">
        <f>E180+B143</f>
        <v>3804</v>
      </c>
    </row>
    <row r="181" spans="1:8" x14ac:dyDescent="0.25">
      <c r="A181" s="36" t="s">
        <v>77</v>
      </c>
      <c r="B181" s="37">
        <v>3296</v>
      </c>
      <c r="C181" s="37">
        <v>3594</v>
      </c>
      <c r="D181" s="37">
        <v>1693</v>
      </c>
      <c r="E181" s="37">
        <v>1628</v>
      </c>
      <c r="F181" s="43">
        <f>SUM(B181:E181)</f>
        <v>10211</v>
      </c>
      <c r="G181" s="40"/>
      <c r="H181" s="40">
        <f t="shared" ref="H181:H184" si="14">E181+B144</f>
        <v>4209</v>
      </c>
    </row>
    <row r="182" spans="1:8" x14ac:dyDescent="0.25">
      <c r="A182" s="36" t="s">
        <v>78</v>
      </c>
      <c r="B182" s="37">
        <v>677</v>
      </c>
      <c r="C182" s="37">
        <v>145</v>
      </c>
      <c r="D182" s="37">
        <v>5</v>
      </c>
      <c r="E182" s="37">
        <v>0</v>
      </c>
      <c r="F182" s="43">
        <f>SUM(B182:E182)</f>
        <v>827</v>
      </c>
      <c r="G182" s="40"/>
      <c r="H182" s="40">
        <f t="shared" si="14"/>
        <v>0</v>
      </c>
    </row>
    <row r="183" spans="1:8" x14ac:dyDescent="0.25">
      <c r="A183" s="36" t="s">
        <v>63</v>
      </c>
      <c r="B183" s="37">
        <v>5641</v>
      </c>
      <c r="C183" s="37">
        <v>6098</v>
      </c>
      <c r="D183" s="37">
        <v>5177</v>
      </c>
      <c r="E183" s="37">
        <v>4418</v>
      </c>
      <c r="F183" s="43">
        <f>SUM(B183:E183)</f>
        <v>21334</v>
      </c>
      <c r="G183" s="40"/>
      <c r="H183" s="40">
        <f t="shared" si="14"/>
        <v>7600</v>
      </c>
    </row>
    <row r="184" spans="1:8" x14ac:dyDescent="0.25">
      <c r="A184" s="36" t="s">
        <v>64</v>
      </c>
      <c r="B184" s="37">
        <v>3642</v>
      </c>
      <c r="C184" s="37">
        <v>3146</v>
      </c>
      <c r="D184" s="37">
        <v>4393</v>
      </c>
      <c r="E184" s="37">
        <v>3191</v>
      </c>
      <c r="F184" s="43">
        <f>SUM(B184:E184)</f>
        <v>14372</v>
      </c>
      <c r="H184" s="40">
        <f t="shared" si="14"/>
        <v>6379</v>
      </c>
    </row>
    <row r="186" spans="1:8" s="44" customFormat="1" x14ac:dyDescent="0.25">
      <c r="A186" s="27"/>
      <c r="B186" s="27"/>
      <c r="C186" s="28"/>
      <c r="D186" s="28"/>
      <c r="E186" s="28"/>
      <c r="F186" s="28"/>
    </row>
    <row r="188" spans="1:8" x14ac:dyDescent="0.25">
      <c r="A188" s="47" t="s">
        <v>165</v>
      </c>
    </row>
    <row r="189" spans="1:8" x14ac:dyDescent="0.25">
      <c r="A189" s="59"/>
    </row>
    <row r="190" spans="1:8" ht="13" x14ac:dyDescent="0.3">
      <c r="A190" s="11" t="s">
        <v>86</v>
      </c>
    </row>
    <row r="192" spans="1:8" ht="13" x14ac:dyDescent="0.3">
      <c r="A192" s="12" t="s">
        <v>169</v>
      </c>
      <c r="B192" s="13" t="s">
        <v>87</v>
      </c>
      <c r="C192" s="13" t="s">
        <v>88</v>
      </c>
      <c r="D192" s="13" t="s">
        <v>89</v>
      </c>
      <c r="E192" s="13" t="s">
        <v>90</v>
      </c>
      <c r="F192" s="13" t="s">
        <v>20</v>
      </c>
    </row>
    <row r="193" spans="1:8" x14ac:dyDescent="0.25">
      <c r="A193" s="15" t="s">
        <v>34</v>
      </c>
      <c r="B193" s="17">
        <v>4562</v>
      </c>
      <c r="C193" s="17">
        <v>4944</v>
      </c>
      <c r="D193" s="17">
        <v>4594</v>
      </c>
      <c r="E193" s="17">
        <v>4341</v>
      </c>
      <c r="F193" s="17">
        <f t="shared" ref="F193:F199" si="15">B193+C193+D193+E193</f>
        <v>18441</v>
      </c>
      <c r="G193" s="40"/>
      <c r="H193" s="40"/>
    </row>
    <row r="194" spans="1:8" x14ac:dyDescent="0.25">
      <c r="A194" s="15" t="s">
        <v>35</v>
      </c>
      <c r="B194" s="17">
        <v>1946</v>
      </c>
      <c r="C194" s="17">
        <v>2562</v>
      </c>
      <c r="D194" s="17">
        <v>2807</v>
      </c>
      <c r="E194" s="17">
        <v>2678</v>
      </c>
      <c r="F194" s="17">
        <f t="shared" si="15"/>
        <v>9993</v>
      </c>
      <c r="G194" s="40"/>
      <c r="H194" s="40"/>
    </row>
    <row r="195" spans="1:8" x14ac:dyDescent="0.25">
      <c r="A195" s="15" t="s">
        <v>57</v>
      </c>
      <c r="B195" s="17">
        <v>578</v>
      </c>
      <c r="C195" s="17">
        <v>277</v>
      </c>
      <c r="D195" s="17">
        <v>100</v>
      </c>
      <c r="E195" s="17">
        <v>15</v>
      </c>
      <c r="F195" s="17">
        <f t="shared" si="15"/>
        <v>970</v>
      </c>
      <c r="G195" s="40"/>
    </row>
    <row r="196" spans="1:8" x14ac:dyDescent="0.25">
      <c r="A196" s="15" t="s">
        <v>58</v>
      </c>
      <c r="B196" s="17">
        <v>3593</v>
      </c>
      <c r="C196" s="17">
        <v>7027</v>
      </c>
      <c r="D196" s="17">
        <v>5406</v>
      </c>
      <c r="E196" s="17">
        <v>4462</v>
      </c>
      <c r="F196" s="17">
        <f t="shared" si="15"/>
        <v>20488</v>
      </c>
      <c r="G196" s="40"/>
      <c r="H196" s="40"/>
    </row>
    <row r="197" spans="1:8" x14ac:dyDescent="0.25">
      <c r="A197" s="15" t="s">
        <v>59</v>
      </c>
      <c r="B197" s="17">
        <v>4700</v>
      </c>
      <c r="C197" s="17">
        <v>7924</v>
      </c>
      <c r="D197" s="17">
        <v>5914</v>
      </c>
      <c r="E197" s="17">
        <v>7753</v>
      </c>
      <c r="F197" s="22">
        <f t="shared" si="15"/>
        <v>26291</v>
      </c>
      <c r="G197" s="40"/>
      <c r="H197" s="40"/>
    </row>
    <row r="198" spans="1:8" x14ac:dyDescent="0.25">
      <c r="A198" s="15" t="s">
        <v>171</v>
      </c>
      <c r="B198" s="17">
        <v>2481</v>
      </c>
      <c r="C198" s="17">
        <v>3214</v>
      </c>
      <c r="D198" s="17">
        <v>7807</v>
      </c>
      <c r="E198" s="17">
        <v>2232</v>
      </c>
      <c r="F198" s="17">
        <f t="shared" si="15"/>
        <v>15734</v>
      </c>
      <c r="G198" s="40"/>
      <c r="H198" s="40"/>
    </row>
    <row r="199" spans="1:8" x14ac:dyDescent="0.25">
      <c r="A199" s="15" t="s">
        <v>60</v>
      </c>
      <c r="B199" s="33">
        <v>927</v>
      </c>
      <c r="C199" s="17">
        <v>1399</v>
      </c>
      <c r="D199" s="17">
        <v>1444</v>
      </c>
      <c r="E199" s="17">
        <v>1982</v>
      </c>
      <c r="F199" s="17">
        <f t="shared" si="15"/>
        <v>5752</v>
      </c>
      <c r="G199" s="40"/>
      <c r="H199" s="40"/>
    </row>
    <row r="200" spans="1:8" x14ac:dyDescent="0.25">
      <c r="A200" s="18" t="s">
        <v>41</v>
      </c>
      <c r="B200" s="19">
        <f>SUM(B193:B199)</f>
        <v>18787</v>
      </c>
      <c r="C200" s="19">
        <f>SUM(C193:C199)</f>
        <v>27347</v>
      </c>
      <c r="D200" s="19">
        <f>SUM(D193:D199)</f>
        <v>28072</v>
      </c>
      <c r="E200" s="19">
        <f>SUM(E193:E199)</f>
        <v>23463</v>
      </c>
      <c r="F200" s="19">
        <f>SUM(F193:F199)</f>
        <v>97669</v>
      </c>
    </row>
    <row r="203" spans="1:8" ht="13" x14ac:dyDescent="0.3">
      <c r="A203" s="12" t="s">
        <v>172</v>
      </c>
      <c r="B203" s="13" t="str">
        <f>B192</f>
        <v>Q1 FY 21</v>
      </c>
      <c r="C203" s="13" t="str">
        <f>C192</f>
        <v>Q2 FY 21</v>
      </c>
      <c r="D203" s="13" t="str">
        <f>D192</f>
        <v>Q3 FY 21</v>
      </c>
      <c r="E203" s="13" t="str">
        <f>E192</f>
        <v>Q4 FY 21</v>
      </c>
      <c r="F203" s="13" t="str">
        <f>F192</f>
        <v>YTD</v>
      </c>
    </row>
    <row r="204" spans="1:8" x14ac:dyDescent="0.25">
      <c r="A204" s="15" t="s">
        <v>27</v>
      </c>
      <c r="B204" s="17">
        <v>2182</v>
      </c>
      <c r="C204" s="17">
        <v>9813</v>
      </c>
      <c r="D204" s="17">
        <v>16286</v>
      </c>
      <c r="E204" s="17">
        <v>16963</v>
      </c>
      <c r="F204" s="17">
        <f>B204+C204+D204+E204</f>
        <v>45244</v>
      </c>
      <c r="H204" s="40"/>
    </row>
    <row r="205" spans="1:8" x14ac:dyDescent="0.25">
      <c r="A205" s="15" t="s">
        <v>31</v>
      </c>
      <c r="B205" s="17">
        <v>10659</v>
      </c>
      <c r="C205" s="17">
        <v>16421</v>
      </c>
      <c r="D205" s="17">
        <v>18862</v>
      </c>
      <c r="E205" s="17">
        <v>18577</v>
      </c>
      <c r="F205" s="22">
        <f t="shared" ref="F205:F210" si="16">B205+C205+D205+E205</f>
        <v>64519</v>
      </c>
      <c r="H205" s="40"/>
    </row>
    <row r="206" spans="1:8" x14ac:dyDescent="0.25">
      <c r="A206" s="15" t="s">
        <v>30</v>
      </c>
      <c r="B206" s="17">
        <v>4440</v>
      </c>
      <c r="C206" s="17">
        <v>6147</v>
      </c>
      <c r="D206" s="17">
        <v>4831</v>
      </c>
      <c r="E206" s="17">
        <v>3691</v>
      </c>
      <c r="F206" s="17">
        <f t="shared" si="16"/>
        <v>19109</v>
      </c>
      <c r="H206" s="40"/>
    </row>
    <row r="207" spans="1:8" x14ac:dyDescent="0.25">
      <c r="A207" s="15" t="s">
        <v>22</v>
      </c>
      <c r="B207" s="17">
        <v>11607</v>
      </c>
      <c r="C207" s="17">
        <v>14434</v>
      </c>
      <c r="D207" s="17">
        <v>18492</v>
      </c>
      <c r="E207" s="17">
        <v>19664</v>
      </c>
      <c r="F207" s="17">
        <f t="shared" si="16"/>
        <v>64197</v>
      </c>
      <c r="G207" s="40"/>
      <c r="H207" s="40"/>
    </row>
    <row r="208" spans="1:8" x14ac:dyDescent="0.25">
      <c r="A208" s="15" t="s">
        <v>21</v>
      </c>
      <c r="B208" s="17">
        <v>8063</v>
      </c>
      <c r="C208" s="17">
        <v>9876</v>
      </c>
      <c r="D208" s="17">
        <v>12385</v>
      </c>
      <c r="E208" s="17">
        <v>12075</v>
      </c>
      <c r="F208" s="17">
        <f t="shared" si="16"/>
        <v>42399</v>
      </c>
      <c r="G208" s="40"/>
      <c r="H208" s="40"/>
    </row>
    <row r="209" spans="1:8" x14ac:dyDescent="0.25">
      <c r="A209" s="15" t="s">
        <v>23</v>
      </c>
      <c r="B209" s="17">
        <v>7161</v>
      </c>
      <c r="C209" s="17">
        <v>11016</v>
      </c>
      <c r="D209" s="17">
        <v>10717</v>
      </c>
      <c r="E209" s="17">
        <v>8986</v>
      </c>
      <c r="F209" s="17">
        <f t="shared" si="16"/>
        <v>37880</v>
      </c>
      <c r="H209" s="40"/>
    </row>
    <row r="210" spans="1:8" x14ac:dyDescent="0.25">
      <c r="A210" s="15" t="s">
        <v>24</v>
      </c>
      <c r="B210" s="34">
        <v>11168</v>
      </c>
      <c r="C210" s="17">
        <v>18515</v>
      </c>
      <c r="D210" s="17">
        <v>18824</v>
      </c>
      <c r="E210" s="17">
        <v>20064</v>
      </c>
      <c r="F210" s="17">
        <f t="shared" si="16"/>
        <v>68571</v>
      </c>
      <c r="H210" s="40"/>
    </row>
    <row r="211" spans="1:8" x14ac:dyDescent="0.25">
      <c r="A211" s="18" t="s">
        <v>65</v>
      </c>
      <c r="B211" s="19">
        <f>SUM(B204:B210)</f>
        <v>55280</v>
      </c>
      <c r="C211" s="19">
        <f>SUM(C204:C210)</f>
        <v>86222</v>
      </c>
      <c r="D211" s="19">
        <f>SUM(D204:D210)</f>
        <v>100397</v>
      </c>
      <c r="E211" s="19">
        <f>SUM(E204:E210)</f>
        <v>100020</v>
      </c>
      <c r="F211" s="19">
        <f>SUM(F204:F210)</f>
        <v>341919</v>
      </c>
    </row>
    <row r="213" spans="1:8" ht="13" x14ac:dyDescent="0.3">
      <c r="B213" s="13" t="str">
        <f>B203</f>
        <v>Q1 FY 21</v>
      </c>
      <c r="C213" s="13" t="str">
        <f>C203</f>
        <v>Q2 FY 21</v>
      </c>
      <c r="D213" s="13" t="str">
        <f>D203</f>
        <v>Q3 FY 21</v>
      </c>
      <c r="E213" s="13" t="str">
        <f>E203</f>
        <v>Q4 FY 21</v>
      </c>
      <c r="F213" s="13" t="str">
        <f>F203</f>
        <v>YTD</v>
      </c>
    </row>
    <row r="214" spans="1:8" x14ac:dyDescent="0.25">
      <c r="A214" s="12" t="s">
        <v>170</v>
      </c>
      <c r="B214" s="19">
        <f>B211+B200</f>
        <v>74067</v>
      </c>
      <c r="C214" s="19">
        <f>C211+C200</f>
        <v>113569</v>
      </c>
      <c r="D214" s="19">
        <f>D211+D200</f>
        <v>128469</v>
      </c>
      <c r="E214" s="19">
        <f>E211+E200</f>
        <v>123483</v>
      </c>
      <c r="F214" s="19">
        <f>F211+F200</f>
        <v>439588</v>
      </c>
    </row>
    <row r="215" spans="1:8" x14ac:dyDescent="0.25">
      <c r="A215" s="35"/>
      <c r="B215" s="24"/>
      <c r="C215" s="24"/>
      <c r="D215" s="24"/>
      <c r="E215" s="24"/>
      <c r="F215" s="24"/>
    </row>
    <row r="216" spans="1:8" ht="13" x14ac:dyDescent="0.3">
      <c r="A216" s="12" t="s">
        <v>75</v>
      </c>
      <c r="B216" s="13" t="str">
        <f>B192</f>
        <v>Q1 FY 21</v>
      </c>
      <c r="C216" s="13" t="str">
        <f>C192</f>
        <v>Q2 FY 21</v>
      </c>
      <c r="D216" s="13" t="str">
        <f>D192</f>
        <v>Q3 FY 21</v>
      </c>
      <c r="E216" s="13" t="str">
        <f>E192</f>
        <v>Q4 FY 21</v>
      </c>
      <c r="F216" s="13" t="str">
        <f>F192</f>
        <v>YTD</v>
      </c>
    </row>
    <row r="217" spans="1:8" x14ac:dyDescent="0.25">
      <c r="A217" s="36" t="s">
        <v>76</v>
      </c>
      <c r="B217" s="37">
        <v>1399</v>
      </c>
      <c r="C217" s="37">
        <v>1505</v>
      </c>
      <c r="D217" s="37">
        <v>2013</v>
      </c>
      <c r="E217" s="37">
        <v>1712</v>
      </c>
      <c r="F217" s="43">
        <f>SUM(B217:E217)</f>
        <v>6629</v>
      </c>
      <c r="G217" s="40"/>
      <c r="H217" s="40"/>
    </row>
    <row r="218" spans="1:8" x14ac:dyDescent="0.25">
      <c r="A218" s="36" t="s">
        <v>77</v>
      </c>
      <c r="B218" s="37">
        <v>3473</v>
      </c>
      <c r="C218" s="37">
        <v>3424</v>
      </c>
      <c r="D218" s="37">
        <v>3802</v>
      </c>
      <c r="E218" s="37">
        <v>3517</v>
      </c>
      <c r="F218" s="43">
        <f>SUM(B218:E218)</f>
        <v>14216</v>
      </c>
      <c r="G218" s="40"/>
      <c r="H218" s="40"/>
    </row>
    <row r="219" spans="1:8" x14ac:dyDescent="0.25">
      <c r="A219" s="36" t="s">
        <v>78</v>
      </c>
      <c r="B219" s="37">
        <v>540</v>
      </c>
      <c r="C219" s="37">
        <v>736</v>
      </c>
      <c r="D219" s="37">
        <v>663</v>
      </c>
      <c r="E219" s="37">
        <v>416</v>
      </c>
      <c r="F219" s="43">
        <f>SUM(B219:E219)</f>
        <v>2355</v>
      </c>
      <c r="G219" s="40"/>
      <c r="H219" s="40"/>
    </row>
    <row r="220" spans="1:8" x14ac:dyDescent="0.25">
      <c r="A220" s="36" t="s">
        <v>63</v>
      </c>
      <c r="B220" s="37">
        <v>5663</v>
      </c>
      <c r="C220" s="37">
        <v>7056</v>
      </c>
      <c r="D220" s="37">
        <v>8243</v>
      </c>
      <c r="E220" s="37">
        <v>7102</v>
      </c>
      <c r="F220" s="43">
        <f>SUM(B220:E220)</f>
        <v>28064</v>
      </c>
      <c r="G220" s="40"/>
      <c r="H220" s="40"/>
    </row>
    <row r="221" spans="1:8" x14ac:dyDescent="0.25">
      <c r="A221" s="36" t="s">
        <v>64</v>
      </c>
      <c r="B221" s="37">
        <v>3008</v>
      </c>
      <c r="C221" s="37">
        <v>3319</v>
      </c>
      <c r="D221" s="37">
        <v>3546</v>
      </c>
      <c r="E221" s="37">
        <v>3182</v>
      </c>
      <c r="F221" s="43">
        <f>SUM(B221:E221)</f>
        <v>13055</v>
      </c>
      <c r="H221" s="40"/>
    </row>
    <row r="223" spans="1:8" s="44" customFormat="1" x14ac:dyDescent="0.25">
      <c r="A223" s="27"/>
      <c r="B223" s="27"/>
      <c r="C223" s="28"/>
      <c r="D223" s="28"/>
      <c r="E223" s="28"/>
      <c r="F223" s="28"/>
    </row>
    <row r="224" spans="1:8" x14ac:dyDescent="0.25">
      <c r="A224" s="47" t="s">
        <v>165</v>
      </c>
      <c r="B224" s="21"/>
      <c r="C224" s="21"/>
      <c r="D224" s="21"/>
      <c r="E224" s="21"/>
    </row>
    <row r="225" spans="1:7" x14ac:dyDescent="0.25">
      <c r="A225" s="59"/>
      <c r="B225" s="21"/>
      <c r="C225" s="21"/>
      <c r="D225" s="21"/>
      <c r="E225" s="21"/>
    </row>
    <row r="226" spans="1:7" s="14" customFormat="1" ht="13" x14ac:dyDescent="0.3">
      <c r="A226" s="11" t="s">
        <v>91</v>
      </c>
      <c r="B226"/>
      <c r="C226"/>
      <c r="D226"/>
      <c r="E226"/>
      <c r="F226"/>
    </row>
    <row r="227" spans="1:7" s="14" customFormat="1" ht="13" x14ac:dyDescent="0.3">
      <c r="A227" s="29"/>
      <c r="B227"/>
      <c r="C227"/>
      <c r="D227"/>
      <c r="E227"/>
      <c r="F227"/>
    </row>
    <row r="228" spans="1:7" s="14" customFormat="1" ht="13" x14ac:dyDescent="0.3">
      <c r="A228" s="12" t="s">
        <v>169</v>
      </c>
      <c r="B228" s="13" t="s">
        <v>92</v>
      </c>
      <c r="C228" s="13" t="s">
        <v>93</v>
      </c>
      <c r="D228" s="13" t="s">
        <v>94</v>
      </c>
      <c r="E228" s="13" t="s">
        <v>95</v>
      </c>
      <c r="F228" s="13" t="s">
        <v>20</v>
      </c>
    </row>
    <row r="229" spans="1:7" s="14" customFormat="1" x14ac:dyDescent="0.25">
      <c r="A229" s="15" t="s">
        <v>34</v>
      </c>
      <c r="B229" s="17">
        <v>7456</v>
      </c>
      <c r="C229" s="17">
        <v>6889</v>
      </c>
      <c r="D229" s="17">
        <v>3495</v>
      </c>
      <c r="E229" s="17">
        <v>4109</v>
      </c>
      <c r="F229" s="17">
        <f t="shared" ref="F229:F236" si="17">B229+C229+D229+E229</f>
        <v>21949</v>
      </c>
    </row>
    <row r="230" spans="1:7" s="14" customFormat="1" x14ac:dyDescent="0.25">
      <c r="A230" s="15" t="s">
        <v>35</v>
      </c>
      <c r="B230" s="17">
        <v>3186</v>
      </c>
      <c r="C230" s="17">
        <v>2746</v>
      </c>
      <c r="D230" s="17">
        <v>3709</v>
      </c>
      <c r="E230" s="17">
        <v>2085</v>
      </c>
      <c r="F230" s="17">
        <f t="shared" si="17"/>
        <v>11726</v>
      </c>
    </row>
    <row r="231" spans="1:7" s="14" customFormat="1" x14ac:dyDescent="0.25">
      <c r="A231" s="15" t="s">
        <v>57</v>
      </c>
      <c r="B231" s="17">
        <v>1566</v>
      </c>
      <c r="C231" s="17">
        <v>887</v>
      </c>
      <c r="D231" s="17">
        <v>585</v>
      </c>
      <c r="E231" s="17">
        <v>497</v>
      </c>
      <c r="F231" s="17">
        <f t="shared" si="17"/>
        <v>3535</v>
      </c>
    </row>
    <row r="232" spans="1:7" s="14" customFormat="1" x14ac:dyDescent="0.25">
      <c r="A232" s="15" t="s">
        <v>58</v>
      </c>
      <c r="B232" s="17">
        <v>10403</v>
      </c>
      <c r="C232" s="17">
        <v>9928</v>
      </c>
      <c r="D232" s="17">
        <v>9581</v>
      </c>
      <c r="E232" s="17">
        <v>7982</v>
      </c>
      <c r="F232" s="17">
        <f t="shared" si="17"/>
        <v>37894</v>
      </c>
    </row>
    <row r="233" spans="1:7" s="14" customFormat="1" x14ac:dyDescent="0.25">
      <c r="A233" s="15" t="s">
        <v>59</v>
      </c>
      <c r="B233" s="17">
        <v>10379</v>
      </c>
      <c r="C233" s="17">
        <v>11447</v>
      </c>
      <c r="D233" s="17">
        <v>12174</v>
      </c>
      <c r="E233" s="17">
        <v>9388</v>
      </c>
      <c r="F233" s="22">
        <f t="shared" si="17"/>
        <v>43388</v>
      </c>
    </row>
    <row r="234" spans="1:7" s="14" customFormat="1" x14ac:dyDescent="0.25">
      <c r="A234" s="15" t="s">
        <v>171</v>
      </c>
      <c r="B234" s="17">
        <v>4634</v>
      </c>
      <c r="C234" s="17">
        <v>3666</v>
      </c>
      <c r="D234" s="17">
        <v>4612</v>
      </c>
      <c r="E234" s="17">
        <v>2955</v>
      </c>
      <c r="F234" s="17">
        <f t="shared" si="17"/>
        <v>15867</v>
      </c>
    </row>
    <row r="235" spans="1:7" s="14" customFormat="1" x14ac:dyDescent="0.25">
      <c r="A235" s="15" t="s">
        <v>84</v>
      </c>
      <c r="B235" s="17">
        <v>0</v>
      </c>
      <c r="C235" s="17">
        <v>0</v>
      </c>
      <c r="D235" s="17">
        <v>0</v>
      </c>
      <c r="E235" s="17">
        <v>0</v>
      </c>
      <c r="F235" s="17">
        <f t="shared" si="17"/>
        <v>0</v>
      </c>
    </row>
    <row r="236" spans="1:7" s="14" customFormat="1" x14ac:dyDescent="0.25">
      <c r="A236" s="15" t="s">
        <v>60</v>
      </c>
      <c r="B236" s="33">
        <v>1916</v>
      </c>
      <c r="C236" s="17">
        <v>1760</v>
      </c>
      <c r="D236" s="17">
        <v>1286</v>
      </c>
      <c r="E236" s="17">
        <v>1272</v>
      </c>
      <c r="F236" s="17">
        <f t="shared" si="17"/>
        <v>6234</v>
      </c>
    </row>
    <row r="237" spans="1:7" s="14" customFormat="1" x14ac:dyDescent="0.25">
      <c r="A237" s="18" t="s">
        <v>41</v>
      </c>
      <c r="B237" s="19">
        <f>SUM(B229:B236)</f>
        <v>39540</v>
      </c>
      <c r="C237" s="19">
        <f>SUM(C229:C236)</f>
        <v>37323</v>
      </c>
      <c r="D237" s="19">
        <f>SUM(D229:D236)</f>
        <v>35442</v>
      </c>
      <c r="E237" s="19">
        <f>SUM(E229:E236)</f>
        <v>28288</v>
      </c>
      <c r="F237" s="19">
        <f>SUM(F229:F236)</f>
        <v>140593</v>
      </c>
      <c r="G237" s="60"/>
    </row>
    <row r="238" spans="1:7" s="14" customFormat="1" x14ac:dyDescent="0.25">
      <c r="A238" s="21"/>
      <c r="B238"/>
      <c r="C238"/>
      <c r="D238"/>
      <c r="E238"/>
      <c r="F238"/>
    </row>
    <row r="239" spans="1:7" s="14" customFormat="1" x14ac:dyDescent="0.25">
      <c r="A239" s="21"/>
      <c r="B239"/>
      <c r="C239"/>
      <c r="D239"/>
      <c r="E239"/>
      <c r="F239"/>
    </row>
    <row r="240" spans="1:7" s="14" customFormat="1" ht="13" x14ac:dyDescent="0.3">
      <c r="A240" s="12" t="s">
        <v>172</v>
      </c>
      <c r="B240" s="13" t="str">
        <f>B228</f>
        <v>Q1 FY 20</v>
      </c>
      <c r="C240" s="13" t="str">
        <f>C228</f>
        <v>Q2 FY 20</v>
      </c>
      <c r="D240" s="13" t="str">
        <f>D228</f>
        <v>Q3 FY 20</v>
      </c>
      <c r="E240" s="13" t="str">
        <f>E228</f>
        <v>Q4 FY 20</v>
      </c>
      <c r="F240" s="13" t="str">
        <f>F228</f>
        <v>YTD</v>
      </c>
    </row>
    <row r="241" spans="1:8" s="14" customFormat="1" x14ac:dyDescent="0.25">
      <c r="A241" s="15" t="s">
        <v>27</v>
      </c>
      <c r="B241" s="17">
        <v>2</v>
      </c>
      <c r="C241" s="17">
        <v>0</v>
      </c>
      <c r="D241" s="17">
        <v>0</v>
      </c>
      <c r="E241" s="17">
        <v>247</v>
      </c>
      <c r="F241" s="17">
        <f>B241+C241+D241+E241</f>
        <v>249</v>
      </c>
    </row>
    <row r="242" spans="1:8" s="14" customFormat="1" x14ac:dyDescent="0.25">
      <c r="A242" s="15" t="s">
        <v>62</v>
      </c>
      <c r="B242" s="17">
        <v>0</v>
      </c>
      <c r="C242" s="17">
        <v>0</v>
      </c>
      <c r="D242" s="17">
        <v>0</v>
      </c>
      <c r="E242" s="17">
        <v>0</v>
      </c>
      <c r="F242" s="22">
        <f t="shared" ref="F242:F248" si="18">B242+C242+D242+E242</f>
        <v>0</v>
      </c>
    </row>
    <row r="243" spans="1:8" s="14" customFormat="1" x14ac:dyDescent="0.25">
      <c r="A243" s="15" t="s">
        <v>31</v>
      </c>
      <c r="B243" s="17">
        <v>20384</v>
      </c>
      <c r="C243" s="17">
        <v>16756</v>
      </c>
      <c r="D243" s="17">
        <v>22978</v>
      </c>
      <c r="E243" s="17">
        <v>14450</v>
      </c>
      <c r="F243" s="22">
        <f t="shared" si="18"/>
        <v>74568</v>
      </c>
    </row>
    <row r="244" spans="1:8" s="14" customFormat="1" x14ac:dyDescent="0.25">
      <c r="A244" s="15" t="s">
        <v>30</v>
      </c>
      <c r="B244" s="17">
        <v>8576</v>
      </c>
      <c r="C244" s="17">
        <v>7880</v>
      </c>
      <c r="D244" s="17">
        <v>9820</v>
      </c>
      <c r="E244" s="17">
        <v>7398</v>
      </c>
      <c r="F244" s="17">
        <f t="shared" si="18"/>
        <v>33674</v>
      </c>
    </row>
    <row r="245" spans="1:8" s="14" customFormat="1" x14ac:dyDescent="0.25">
      <c r="A245" s="15" t="s">
        <v>22</v>
      </c>
      <c r="B245" s="17">
        <v>18300</v>
      </c>
      <c r="C245" s="17">
        <v>18919</v>
      </c>
      <c r="D245" s="17">
        <v>20770</v>
      </c>
      <c r="E245" s="17">
        <v>16288</v>
      </c>
      <c r="F245" s="17">
        <f t="shared" si="18"/>
        <v>74277</v>
      </c>
    </row>
    <row r="246" spans="1:8" s="14" customFormat="1" x14ac:dyDescent="0.25">
      <c r="A246" s="15" t="s">
        <v>21</v>
      </c>
      <c r="B246" s="17">
        <v>11082</v>
      </c>
      <c r="C246" s="17">
        <v>11975</v>
      </c>
      <c r="D246" s="17">
        <v>13806</v>
      </c>
      <c r="E246" s="17">
        <v>10427</v>
      </c>
      <c r="F246" s="17">
        <f t="shared" si="18"/>
        <v>47290</v>
      </c>
    </row>
    <row r="247" spans="1:8" s="14" customFormat="1" x14ac:dyDescent="0.25">
      <c r="A247" s="15" t="s">
        <v>23</v>
      </c>
      <c r="B247" s="17">
        <v>13720</v>
      </c>
      <c r="C247" s="17">
        <v>13695</v>
      </c>
      <c r="D247" s="17">
        <v>14397</v>
      </c>
      <c r="E247" s="17">
        <v>11090</v>
      </c>
      <c r="F247" s="17">
        <f t="shared" si="18"/>
        <v>52902</v>
      </c>
    </row>
    <row r="248" spans="1:8" s="14" customFormat="1" x14ac:dyDescent="0.25">
      <c r="A248" s="15" t="s">
        <v>24</v>
      </c>
      <c r="B248" s="34">
        <v>17011</v>
      </c>
      <c r="C248" s="17">
        <v>22405</v>
      </c>
      <c r="D248" s="17">
        <v>24009</v>
      </c>
      <c r="E248" s="17">
        <v>21681</v>
      </c>
      <c r="F248" s="17">
        <f t="shared" si="18"/>
        <v>85106</v>
      </c>
      <c r="H248" s="61"/>
    </row>
    <row r="249" spans="1:8" s="14" customFormat="1" x14ac:dyDescent="0.25">
      <c r="A249" s="18" t="s">
        <v>65</v>
      </c>
      <c r="B249" s="19">
        <f>SUM(B241:B248)</f>
        <v>89075</v>
      </c>
      <c r="C249" s="19">
        <f>SUM(C243:C248)</f>
        <v>91630</v>
      </c>
      <c r="D249" s="19">
        <f>SUM(D243:D248)</f>
        <v>105780</v>
      </c>
      <c r="E249" s="19">
        <f>SUM(E241:E248)</f>
        <v>81581</v>
      </c>
      <c r="F249" s="19">
        <f>SUM(F241:F248)</f>
        <v>368066</v>
      </c>
      <c r="G249" s="60"/>
    </row>
    <row r="250" spans="1:8" s="14" customFormat="1" x14ac:dyDescent="0.25">
      <c r="A250" s="21"/>
      <c r="B250"/>
      <c r="C250"/>
      <c r="D250"/>
      <c r="E250"/>
      <c r="F250"/>
    </row>
    <row r="251" spans="1:8" s="14" customFormat="1" ht="13" x14ac:dyDescent="0.3">
      <c r="A251" s="21"/>
      <c r="B251" s="13" t="str">
        <f>B240</f>
        <v>Q1 FY 20</v>
      </c>
      <c r="C251" s="13" t="str">
        <f>C240</f>
        <v>Q2 FY 20</v>
      </c>
      <c r="D251" s="13" t="str">
        <f>D240</f>
        <v>Q3 FY 20</v>
      </c>
      <c r="E251" s="13" t="str">
        <f>E240</f>
        <v>Q4 FY 20</v>
      </c>
      <c r="F251" s="13" t="str">
        <f>F240</f>
        <v>YTD</v>
      </c>
    </row>
    <row r="252" spans="1:8" s="14" customFormat="1" x14ac:dyDescent="0.25">
      <c r="A252" s="12" t="s">
        <v>170</v>
      </c>
      <c r="B252" s="19">
        <f>B249+B237</f>
        <v>128615</v>
      </c>
      <c r="C252" s="19">
        <f>C249+C237</f>
        <v>128953</v>
      </c>
      <c r="D252" s="19">
        <f>D249+D237</f>
        <v>141222</v>
      </c>
      <c r="E252" s="19">
        <f>E249+E237</f>
        <v>109869</v>
      </c>
      <c r="F252" s="19">
        <f>F249+F237</f>
        <v>508659</v>
      </c>
      <c r="G252" s="60"/>
    </row>
    <row r="253" spans="1:8" s="14" customFormat="1" x14ac:dyDescent="0.25">
      <c r="A253" s="35"/>
      <c r="B253" s="24"/>
      <c r="C253" s="24"/>
      <c r="D253" s="24"/>
      <c r="E253" s="24"/>
      <c r="F253" s="24"/>
    </row>
    <row r="254" spans="1:8" s="42" customFormat="1" ht="12" x14ac:dyDescent="0.3">
      <c r="A254" s="12" t="s">
        <v>75</v>
      </c>
      <c r="B254" s="13" t="str">
        <f>B228</f>
        <v>Q1 FY 20</v>
      </c>
      <c r="C254" s="13" t="str">
        <f>C228</f>
        <v>Q2 FY 20</v>
      </c>
      <c r="D254" s="13" t="str">
        <f>D228</f>
        <v>Q3 FY 20</v>
      </c>
      <c r="E254" s="13" t="str">
        <f>E228</f>
        <v>Q4 FY 20</v>
      </c>
      <c r="F254" s="13" t="str">
        <f>F228</f>
        <v>YTD</v>
      </c>
    </row>
    <row r="255" spans="1:8" s="42" customFormat="1" ht="12" x14ac:dyDescent="0.3">
      <c r="A255" s="36" t="s">
        <v>76</v>
      </c>
      <c r="B255" s="37">
        <v>1149</v>
      </c>
      <c r="C255" s="37">
        <v>1254</v>
      </c>
      <c r="D255" s="37">
        <v>2116</v>
      </c>
      <c r="E255" s="37">
        <v>768</v>
      </c>
      <c r="F255" s="43">
        <f>SUM(B255:E255)</f>
        <v>5287</v>
      </c>
    </row>
    <row r="256" spans="1:8" s="42" customFormat="1" ht="12" x14ac:dyDescent="0.3">
      <c r="A256" s="36" t="s">
        <v>77</v>
      </c>
      <c r="B256" s="37">
        <v>4329</v>
      </c>
      <c r="C256" s="37">
        <v>3785</v>
      </c>
      <c r="D256" s="37">
        <v>932</v>
      </c>
      <c r="E256" s="37">
        <v>1496</v>
      </c>
      <c r="F256" s="43">
        <f>SUM(B256:E256)</f>
        <v>10542</v>
      </c>
    </row>
    <row r="257" spans="1:6" s="42" customFormat="1" ht="12" x14ac:dyDescent="0.3">
      <c r="A257" s="36" t="s">
        <v>78</v>
      </c>
      <c r="B257" s="37">
        <v>1021</v>
      </c>
      <c r="C257" s="37">
        <v>620</v>
      </c>
      <c r="D257" s="37">
        <v>598</v>
      </c>
      <c r="E257" s="37">
        <v>253</v>
      </c>
      <c r="F257" s="43">
        <f>SUM(B257:E257)</f>
        <v>2492</v>
      </c>
    </row>
    <row r="258" spans="1:6" s="42" customFormat="1" ht="12" x14ac:dyDescent="0.3">
      <c r="A258" s="36" t="s">
        <v>63</v>
      </c>
      <c r="B258" s="37">
        <v>6979</v>
      </c>
      <c r="C258" s="37">
        <v>6733</v>
      </c>
      <c r="D258" s="37">
        <v>9329</v>
      </c>
      <c r="E258" s="37">
        <v>1717</v>
      </c>
      <c r="F258" s="43">
        <f>SUM(B258:E258)</f>
        <v>24758</v>
      </c>
    </row>
    <row r="259" spans="1:6" s="42" customFormat="1" ht="12" x14ac:dyDescent="0.3">
      <c r="A259" s="36" t="s">
        <v>64</v>
      </c>
      <c r="B259" s="37">
        <v>700</v>
      </c>
      <c r="C259" s="37">
        <v>2156</v>
      </c>
      <c r="D259" s="37">
        <v>2376</v>
      </c>
      <c r="E259" s="37">
        <v>1665</v>
      </c>
      <c r="F259" s="43">
        <f>SUM(B259:E259)</f>
        <v>6897</v>
      </c>
    </row>
    <row r="260" spans="1:6" s="42" customFormat="1" ht="12" x14ac:dyDescent="0.3">
      <c r="A260" s="62"/>
      <c r="B260" s="63"/>
      <c r="C260" s="63"/>
      <c r="D260" s="63"/>
      <c r="E260" s="63"/>
      <c r="F260" s="64"/>
    </row>
    <row r="261" spans="1:6" s="44" customFormat="1" x14ac:dyDescent="0.25">
      <c r="A261" s="27"/>
      <c r="B261" s="27"/>
      <c r="C261" s="28"/>
      <c r="D261" s="28"/>
      <c r="E261" s="28"/>
      <c r="F261" s="28"/>
    </row>
    <row r="262" spans="1:6" x14ac:dyDescent="0.25">
      <c r="A262" s="47" t="s">
        <v>165</v>
      </c>
      <c r="B262" s="21"/>
      <c r="C262" s="21"/>
      <c r="D262" s="21"/>
      <c r="E262" s="21"/>
    </row>
    <row r="263" spans="1:6" x14ac:dyDescent="0.25">
      <c r="A263" s="59"/>
      <c r="B263" s="21"/>
      <c r="C263" s="21"/>
      <c r="D263" s="21"/>
      <c r="E263" s="21"/>
    </row>
    <row r="264" spans="1:6" s="14" customFormat="1" ht="13" x14ac:dyDescent="0.3">
      <c r="A264" s="11" t="s">
        <v>96</v>
      </c>
      <c r="B264"/>
      <c r="C264"/>
      <c r="D264"/>
      <c r="E264"/>
      <c r="F264"/>
    </row>
    <row r="265" spans="1:6" s="14" customFormat="1" ht="13" x14ac:dyDescent="0.3">
      <c r="A265" s="29"/>
      <c r="B265"/>
      <c r="C265"/>
      <c r="D265"/>
      <c r="E265"/>
      <c r="F265"/>
    </row>
    <row r="266" spans="1:6" s="14" customFormat="1" ht="13" x14ac:dyDescent="0.3">
      <c r="A266" s="12" t="s">
        <v>169</v>
      </c>
      <c r="B266" s="13" t="s">
        <v>173</v>
      </c>
      <c r="C266" s="13" t="s">
        <v>174</v>
      </c>
      <c r="D266" s="13" t="s">
        <v>175</v>
      </c>
      <c r="E266" s="13" t="s">
        <v>176</v>
      </c>
      <c r="F266" s="13" t="s">
        <v>20</v>
      </c>
    </row>
    <row r="267" spans="1:6" s="14" customFormat="1" x14ac:dyDescent="0.25">
      <c r="A267" s="15" t="s">
        <v>34</v>
      </c>
      <c r="B267" s="17">
        <v>8091</v>
      </c>
      <c r="C267" s="17">
        <v>7683</v>
      </c>
      <c r="D267" s="17">
        <v>6545</v>
      </c>
      <c r="E267" s="17">
        <v>8111</v>
      </c>
      <c r="F267" s="17">
        <f t="shared" ref="F267:F274" si="19">B267+C267+D267+E267</f>
        <v>30430</v>
      </c>
    </row>
    <row r="268" spans="1:6" s="14" customFormat="1" x14ac:dyDescent="0.25">
      <c r="A268" s="15" t="s">
        <v>35</v>
      </c>
      <c r="B268" s="17">
        <v>8047</v>
      </c>
      <c r="C268" s="17">
        <v>7419</v>
      </c>
      <c r="D268" s="17">
        <v>5643</v>
      </c>
      <c r="E268" s="17">
        <v>5987</v>
      </c>
      <c r="F268" s="17">
        <f t="shared" si="19"/>
        <v>27096</v>
      </c>
    </row>
    <row r="269" spans="1:6" s="14" customFormat="1" x14ac:dyDescent="0.25">
      <c r="A269" s="15" t="s">
        <v>57</v>
      </c>
      <c r="B269" s="17">
        <v>1374</v>
      </c>
      <c r="C269" s="17">
        <v>915</v>
      </c>
      <c r="D269" s="17">
        <v>804</v>
      </c>
      <c r="E269" s="17">
        <v>979</v>
      </c>
      <c r="F269" s="17">
        <f t="shared" si="19"/>
        <v>4072</v>
      </c>
    </row>
    <row r="270" spans="1:6" s="14" customFormat="1" x14ac:dyDescent="0.25">
      <c r="A270" s="15" t="s">
        <v>58</v>
      </c>
      <c r="B270" s="17">
        <v>11314</v>
      </c>
      <c r="C270" s="17">
        <v>10322</v>
      </c>
      <c r="D270" s="17">
        <v>12048</v>
      </c>
      <c r="E270" s="17">
        <v>13027</v>
      </c>
      <c r="F270" s="17">
        <f t="shared" si="19"/>
        <v>46711</v>
      </c>
    </row>
    <row r="271" spans="1:6" s="14" customFormat="1" x14ac:dyDescent="0.25">
      <c r="A271" s="15" t="s">
        <v>59</v>
      </c>
      <c r="B271" s="17">
        <v>13038</v>
      </c>
      <c r="C271" s="17">
        <v>12490</v>
      </c>
      <c r="D271" s="17">
        <v>12671</v>
      </c>
      <c r="E271" s="17">
        <v>14484</v>
      </c>
      <c r="F271" s="17">
        <f t="shared" si="19"/>
        <v>52683</v>
      </c>
    </row>
    <row r="272" spans="1:6" s="14" customFormat="1" x14ac:dyDescent="0.25">
      <c r="A272" s="15" t="s">
        <v>171</v>
      </c>
      <c r="B272" s="17">
        <v>195</v>
      </c>
      <c r="C272" s="17">
        <v>1073</v>
      </c>
      <c r="D272" s="17">
        <v>5625</v>
      </c>
      <c r="E272" s="17">
        <v>4443</v>
      </c>
      <c r="F272" s="17">
        <f t="shared" si="19"/>
        <v>11336</v>
      </c>
    </row>
    <row r="273" spans="1:8" s="14" customFormat="1" x14ac:dyDescent="0.25">
      <c r="A273" s="15" t="s">
        <v>84</v>
      </c>
      <c r="B273" s="17">
        <v>0</v>
      </c>
      <c r="C273" s="17">
        <v>0</v>
      </c>
      <c r="D273" s="17">
        <v>0</v>
      </c>
      <c r="E273" s="17">
        <v>0</v>
      </c>
      <c r="F273" s="17">
        <f t="shared" si="19"/>
        <v>0</v>
      </c>
    </row>
    <row r="274" spans="1:8" s="14" customFormat="1" x14ac:dyDescent="0.25">
      <c r="A274" s="15" t="s">
        <v>60</v>
      </c>
      <c r="B274" s="33">
        <v>2065</v>
      </c>
      <c r="C274" s="17">
        <v>2038</v>
      </c>
      <c r="D274" s="17">
        <v>1502</v>
      </c>
      <c r="E274" s="17">
        <v>2265</v>
      </c>
      <c r="F274" s="17">
        <f t="shared" si="19"/>
        <v>7870</v>
      </c>
    </row>
    <row r="275" spans="1:8" s="14" customFormat="1" x14ac:dyDescent="0.25">
      <c r="A275" s="18" t="s">
        <v>41</v>
      </c>
      <c r="B275" s="19">
        <f>SUM(B267:B274)</f>
        <v>44124</v>
      </c>
      <c r="C275" s="19">
        <f>SUM(C267:C274)</f>
        <v>41940</v>
      </c>
      <c r="D275" s="19">
        <f>SUM(D267:D274)</f>
        <v>44838</v>
      </c>
      <c r="E275" s="19">
        <f>SUM(E267:E274)</f>
        <v>49296</v>
      </c>
      <c r="F275" s="19">
        <f>SUM(F267:F274)</f>
        <v>180198</v>
      </c>
      <c r="G275" s="60"/>
    </row>
    <row r="276" spans="1:8" s="14" customFormat="1" x14ac:dyDescent="0.25">
      <c r="A276" s="21"/>
      <c r="B276"/>
      <c r="C276"/>
      <c r="D276"/>
      <c r="E276"/>
      <c r="F276"/>
    </row>
    <row r="277" spans="1:8" s="14" customFormat="1" x14ac:dyDescent="0.25">
      <c r="A277" s="21"/>
      <c r="B277"/>
      <c r="C277"/>
      <c r="D277"/>
      <c r="E277"/>
      <c r="F277"/>
    </row>
    <row r="278" spans="1:8" s="14" customFormat="1" ht="13" x14ac:dyDescent="0.3">
      <c r="A278" s="12" t="s">
        <v>172</v>
      </c>
      <c r="B278" s="13" t="str">
        <f>B266</f>
        <v>Q1 FY 19</v>
      </c>
      <c r="C278" s="13" t="str">
        <f>C266</f>
        <v>Q2 FY 19</v>
      </c>
      <c r="D278" s="13" t="str">
        <f>D266</f>
        <v>Q3 FY 19</v>
      </c>
      <c r="E278" s="13" t="str">
        <f>E266</f>
        <v>Q4 FY 19</v>
      </c>
      <c r="F278" s="13" t="str">
        <f>F266</f>
        <v>YTD</v>
      </c>
    </row>
    <row r="279" spans="1:8" s="14" customFormat="1" x14ac:dyDescent="0.25">
      <c r="A279" s="15" t="s">
        <v>27</v>
      </c>
      <c r="B279" s="17">
        <v>0</v>
      </c>
      <c r="C279" s="17">
        <v>0</v>
      </c>
      <c r="D279" s="17">
        <v>0</v>
      </c>
      <c r="E279" s="17">
        <v>0</v>
      </c>
      <c r="F279" s="17">
        <f t="shared" ref="F279:F286" si="20">B279+C279+D279+E279</f>
        <v>0</v>
      </c>
    </row>
    <row r="280" spans="1:8" s="14" customFormat="1" x14ac:dyDescent="0.25">
      <c r="A280" s="15" t="s">
        <v>62</v>
      </c>
      <c r="B280" s="17">
        <v>0</v>
      </c>
      <c r="C280" s="17">
        <v>0</v>
      </c>
      <c r="D280" s="17">
        <v>0</v>
      </c>
      <c r="E280" s="17">
        <v>0</v>
      </c>
      <c r="F280" s="17">
        <f t="shared" si="20"/>
        <v>0</v>
      </c>
    </row>
    <row r="281" spans="1:8" s="14" customFormat="1" x14ac:dyDescent="0.25">
      <c r="A281" s="15" t="s">
        <v>31</v>
      </c>
      <c r="B281" s="17">
        <v>24194</v>
      </c>
      <c r="C281" s="17">
        <v>19294</v>
      </c>
      <c r="D281" s="17">
        <v>21033</v>
      </c>
      <c r="E281" s="17">
        <v>23456</v>
      </c>
      <c r="F281" s="17">
        <f t="shared" si="20"/>
        <v>87977</v>
      </c>
    </row>
    <row r="282" spans="1:8" s="14" customFormat="1" x14ac:dyDescent="0.25">
      <c r="A282" s="15" t="s">
        <v>30</v>
      </c>
      <c r="B282" s="17">
        <v>10902</v>
      </c>
      <c r="C282" s="17">
        <v>10934</v>
      </c>
      <c r="D282" s="17">
        <v>9417</v>
      </c>
      <c r="E282" s="17">
        <v>9586</v>
      </c>
      <c r="F282" s="17">
        <f t="shared" si="20"/>
        <v>40839</v>
      </c>
    </row>
    <row r="283" spans="1:8" s="14" customFormat="1" x14ac:dyDescent="0.25">
      <c r="A283" s="15" t="s">
        <v>22</v>
      </c>
      <c r="B283" s="17">
        <v>20354</v>
      </c>
      <c r="C283" s="17">
        <v>16098</v>
      </c>
      <c r="D283" s="17">
        <v>20259</v>
      </c>
      <c r="E283" s="17">
        <v>23711</v>
      </c>
      <c r="F283" s="17">
        <f t="shared" si="20"/>
        <v>80422</v>
      </c>
    </row>
    <row r="284" spans="1:8" s="14" customFormat="1" x14ac:dyDescent="0.25">
      <c r="A284" s="15" t="s">
        <v>21</v>
      </c>
      <c r="B284" s="17">
        <v>13300</v>
      </c>
      <c r="C284" s="17">
        <v>11871</v>
      </c>
      <c r="D284" s="17">
        <v>15290</v>
      </c>
      <c r="E284" s="17">
        <v>15956</v>
      </c>
      <c r="F284" s="17">
        <f t="shared" si="20"/>
        <v>56417</v>
      </c>
    </row>
    <row r="285" spans="1:8" s="14" customFormat="1" x14ac:dyDescent="0.25">
      <c r="A285" s="15" t="s">
        <v>23</v>
      </c>
      <c r="B285" s="17">
        <v>15626</v>
      </c>
      <c r="C285" s="17">
        <v>15255</v>
      </c>
      <c r="D285" s="17">
        <v>15291</v>
      </c>
      <c r="E285" s="17">
        <v>18648</v>
      </c>
      <c r="F285" s="17">
        <f t="shared" si="20"/>
        <v>64820</v>
      </c>
    </row>
    <row r="286" spans="1:8" s="14" customFormat="1" x14ac:dyDescent="0.25">
      <c r="A286" s="15" t="s">
        <v>24</v>
      </c>
      <c r="B286" s="34">
        <v>17010</v>
      </c>
      <c r="C286" s="17">
        <v>14495</v>
      </c>
      <c r="D286" s="17">
        <v>18474</v>
      </c>
      <c r="E286" s="17">
        <v>18263</v>
      </c>
      <c r="F286" s="17">
        <f t="shared" si="20"/>
        <v>68242</v>
      </c>
      <c r="H286" s="61"/>
    </row>
    <row r="287" spans="1:8" s="14" customFormat="1" x14ac:dyDescent="0.25">
      <c r="A287" s="18" t="s">
        <v>65</v>
      </c>
      <c r="B287" s="19">
        <f>SUM(B281:B286)</f>
        <v>101386</v>
      </c>
      <c r="C287" s="19">
        <f>SUM(C281:C286)</f>
        <v>87947</v>
      </c>
      <c r="D287" s="19">
        <f>SUM(D281:D286)</f>
        <v>99764</v>
      </c>
      <c r="E287" s="19">
        <f>SUM(E279:E286)</f>
        <v>109620</v>
      </c>
      <c r="F287" s="19">
        <f>SUM(F279:F286)</f>
        <v>398717</v>
      </c>
      <c r="G287" s="60"/>
    </row>
    <row r="288" spans="1:8" s="14" customFormat="1" x14ac:dyDescent="0.25">
      <c r="A288" s="21"/>
      <c r="B288"/>
      <c r="C288"/>
      <c r="D288"/>
      <c r="E288"/>
      <c r="F288"/>
    </row>
    <row r="289" spans="1:7" s="14" customFormat="1" ht="13" x14ac:dyDescent="0.3">
      <c r="A289" s="21"/>
      <c r="B289" s="13" t="str">
        <f>B278</f>
        <v>Q1 FY 19</v>
      </c>
      <c r="C289" s="13" t="str">
        <f>C278</f>
        <v>Q2 FY 19</v>
      </c>
      <c r="D289" s="13" t="str">
        <f>D278</f>
        <v>Q3 FY 19</v>
      </c>
      <c r="E289" s="13" t="str">
        <f>E278</f>
        <v>Q4 FY 19</v>
      </c>
      <c r="F289" s="13" t="str">
        <f>F278</f>
        <v>YTD</v>
      </c>
    </row>
    <row r="290" spans="1:7" s="14" customFormat="1" x14ac:dyDescent="0.25">
      <c r="A290" s="12" t="s">
        <v>170</v>
      </c>
      <c r="B290" s="19">
        <f>B287+B275</f>
        <v>145510</v>
      </c>
      <c r="C290" s="19">
        <f>C287+C275</f>
        <v>129887</v>
      </c>
      <c r="D290" s="19">
        <f>D287+D275</f>
        <v>144602</v>
      </c>
      <c r="E290" s="19">
        <f>E287+E275</f>
        <v>158916</v>
      </c>
      <c r="F290" s="19">
        <f>F287+F275</f>
        <v>578915</v>
      </c>
      <c r="G290" s="60"/>
    </row>
    <row r="291" spans="1:7" s="14" customFormat="1" x14ac:dyDescent="0.25">
      <c r="A291" s="35"/>
      <c r="B291" s="24"/>
      <c r="C291" s="24"/>
      <c r="D291" s="24"/>
      <c r="E291" s="24"/>
      <c r="F291" s="24"/>
    </row>
    <row r="292" spans="1:7" s="42" customFormat="1" ht="12" x14ac:dyDescent="0.3">
      <c r="A292" s="12" t="s">
        <v>75</v>
      </c>
      <c r="B292" s="13" t="str">
        <f>B266</f>
        <v>Q1 FY 19</v>
      </c>
      <c r="C292" s="13" t="str">
        <f>C266</f>
        <v>Q2 FY 19</v>
      </c>
      <c r="D292" s="13" t="str">
        <f>D266</f>
        <v>Q3 FY 19</v>
      </c>
      <c r="E292" s="13" t="str">
        <f>E266</f>
        <v>Q4 FY 19</v>
      </c>
      <c r="F292" s="13" t="str">
        <f>F266</f>
        <v>YTD</v>
      </c>
    </row>
    <row r="293" spans="1:7" s="42" customFormat="1" ht="12" x14ac:dyDescent="0.3">
      <c r="A293" s="36" t="s">
        <v>76</v>
      </c>
      <c r="B293" s="37">
        <v>4468</v>
      </c>
      <c r="C293" s="37">
        <v>2668</v>
      </c>
      <c r="D293" s="37">
        <v>2495</v>
      </c>
      <c r="E293" s="37">
        <v>1590</v>
      </c>
      <c r="F293" s="43">
        <f>SUM(B293:E293)</f>
        <v>11221</v>
      </c>
    </row>
    <row r="294" spans="1:7" s="42" customFormat="1" ht="12" x14ac:dyDescent="0.3">
      <c r="A294" s="36" t="s">
        <v>77</v>
      </c>
      <c r="B294" s="37">
        <v>3762</v>
      </c>
      <c r="C294" s="37">
        <v>2607</v>
      </c>
      <c r="D294" s="37">
        <v>2223</v>
      </c>
      <c r="E294" s="37">
        <v>2205</v>
      </c>
      <c r="F294" s="43">
        <f>SUM(B294:E294)</f>
        <v>10797</v>
      </c>
    </row>
    <row r="295" spans="1:7" s="42" customFormat="1" ht="12" x14ac:dyDescent="0.3">
      <c r="A295" s="36" t="s">
        <v>78</v>
      </c>
      <c r="B295" s="37">
        <v>0</v>
      </c>
      <c r="C295" s="37">
        <v>359</v>
      </c>
      <c r="D295" s="37">
        <v>606</v>
      </c>
      <c r="E295" s="37">
        <v>888</v>
      </c>
      <c r="F295" s="43">
        <f>SUM(B295:E295)</f>
        <v>1853</v>
      </c>
    </row>
    <row r="296" spans="1:7" s="42" customFormat="1" ht="12" x14ac:dyDescent="0.3">
      <c r="A296" s="36" t="s">
        <v>63</v>
      </c>
      <c r="B296" s="37">
        <v>9635</v>
      </c>
      <c r="C296" s="37">
        <v>5310</v>
      </c>
      <c r="D296" s="37">
        <v>5568</v>
      </c>
      <c r="E296" s="37">
        <v>5319</v>
      </c>
      <c r="F296" s="43">
        <f>SUM(B296:E296)</f>
        <v>25832</v>
      </c>
    </row>
    <row r="297" spans="1:7" s="42" customFormat="1" ht="12" x14ac:dyDescent="0.3">
      <c r="A297" s="36" t="s">
        <v>64</v>
      </c>
      <c r="B297" s="37">
        <v>3316</v>
      </c>
      <c r="C297" s="37">
        <v>1587</v>
      </c>
      <c r="D297" s="37">
        <v>1777</v>
      </c>
      <c r="E297" s="37">
        <v>1195</v>
      </c>
      <c r="F297" s="43">
        <f>SUM(B297:E297)</f>
        <v>7875</v>
      </c>
    </row>
    <row r="298" spans="1:7" s="14" customFormat="1" x14ac:dyDescent="0.25">
      <c r="A298" s="21"/>
      <c r="B298"/>
      <c r="C298"/>
      <c r="D298"/>
      <c r="E298"/>
      <c r="F298"/>
    </row>
    <row r="299" spans="1:7" s="44" customFormat="1" x14ac:dyDescent="0.25">
      <c r="A299" s="27"/>
      <c r="B299" s="27"/>
      <c r="C299" s="28"/>
      <c r="D299" s="28"/>
      <c r="E299" s="28"/>
      <c r="F299" s="28"/>
    </row>
    <row r="301" spans="1:7" x14ac:dyDescent="0.25">
      <c r="A301" s="47" t="s">
        <v>165</v>
      </c>
      <c r="B301" s="21"/>
      <c r="C301" s="21"/>
      <c r="D301" s="21"/>
      <c r="E301" s="21"/>
    </row>
    <row r="302" spans="1:7" x14ac:dyDescent="0.25">
      <c r="A302" s="59"/>
      <c r="B302" s="21"/>
      <c r="C302" s="21"/>
      <c r="D302" s="21"/>
      <c r="E302" s="21"/>
    </row>
    <row r="303" spans="1:7" s="14" customFormat="1" ht="13" x14ac:dyDescent="0.3">
      <c r="A303" s="11" t="s">
        <v>102</v>
      </c>
      <c r="B303"/>
      <c r="C303"/>
      <c r="D303"/>
      <c r="E303"/>
      <c r="F303"/>
    </row>
    <row r="304" spans="1:7" s="14" customFormat="1" ht="13" x14ac:dyDescent="0.3">
      <c r="A304" s="29"/>
      <c r="B304"/>
      <c r="C304"/>
      <c r="D304"/>
      <c r="E304"/>
      <c r="F304"/>
    </row>
    <row r="305" spans="1:7" s="14" customFormat="1" ht="13" x14ac:dyDescent="0.3">
      <c r="A305" s="12" t="s">
        <v>169</v>
      </c>
      <c r="B305" s="13" t="s">
        <v>103</v>
      </c>
      <c r="C305" s="13" t="s">
        <v>104</v>
      </c>
      <c r="D305" s="13" t="s">
        <v>105</v>
      </c>
      <c r="E305" s="13" t="s">
        <v>106</v>
      </c>
      <c r="F305" s="13" t="s">
        <v>20</v>
      </c>
    </row>
    <row r="306" spans="1:7" s="14" customFormat="1" x14ac:dyDescent="0.25">
      <c r="A306" s="15" t="s">
        <v>34</v>
      </c>
      <c r="B306" s="17">
        <v>8858</v>
      </c>
      <c r="C306" s="17">
        <v>8831</v>
      </c>
      <c r="D306" s="17">
        <v>6801</v>
      </c>
      <c r="E306" s="17">
        <v>8335</v>
      </c>
      <c r="F306" s="17">
        <f t="shared" ref="F306:F312" si="21">B306+C306+D306+E306</f>
        <v>32825</v>
      </c>
    </row>
    <row r="307" spans="1:7" s="14" customFormat="1" x14ac:dyDescent="0.25">
      <c r="A307" s="15" t="s">
        <v>35</v>
      </c>
      <c r="B307" s="17">
        <v>9592</v>
      </c>
      <c r="C307" s="17">
        <v>10256</v>
      </c>
      <c r="D307" s="17">
        <v>10661</v>
      </c>
      <c r="E307" s="17">
        <v>10398</v>
      </c>
      <c r="F307" s="17">
        <f t="shared" si="21"/>
        <v>40907</v>
      </c>
    </row>
    <row r="308" spans="1:7" s="14" customFormat="1" x14ac:dyDescent="0.25">
      <c r="A308" s="15" t="s">
        <v>57</v>
      </c>
      <c r="B308" s="17">
        <v>2431</v>
      </c>
      <c r="C308" s="17">
        <v>2525</v>
      </c>
      <c r="D308" s="17">
        <v>2216</v>
      </c>
      <c r="E308" s="17">
        <v>1964</v>
      </c>
      <c r="F308" s="17">
        <f t="shared" si="21"/>
        <v>9136</v>
      </c>
    </row>
    <row r="309" spans="1:7" s="14" customFormat="1" x14ac:dyDescent="0.25">
      <c r="A309" s="15" t="s">
        <v>58</v>
      </c>
      <c r="B309" s="17">
        <v>0</v>
      </c>
      <c r="C309" s="17">
        <v>0</v>
      </c>
      <c r="D309" s="17">
        <v>589</v>
      </c>
      <c r="E309" s="17">
        <v>8502</v>
      </c>
      <c r="F309" s="17">
        <f t="shared" si="21"/>
        <v>9091</v>
      </c>
    </row>
    <row r="310" spans="1:7" s="14" customFormat="1" x14ac:dyDescent="0.25">
      <c r="A310" s="15" t="s">
        <v>59</v>
      </c>
      <c r="B310" s="17">
        <v>17648</v>
      </c>
      <c r="C310" s="17">
        <v>18252</v>
      </c>
      <c r="D310" s="17">
        <v>18455</v>
      </c>
      <c r="E310" s="17">
        <v>18364</v>
      </c>
      <c r="F310" s="17">
        <f t="shared" si="21"/>
        <v>72719</v>
      </c>
    </row>
    <row r="311" spans="1:7" s="14" customFormat="1" x14ac:dyDescent="0.25">
      <c r="A311" s="15" t="s">
        <v>84</v>
      </c>
      <c r="B311" s="17">
        <v>0</v>
      </c>
      <c r="C311" s="17">
        <v>0</v>
      </c>
      <c r="D311" s="17">
        <v>0</v>
      </c>
      <c r="E311" s="17">
        <v>0</v>
      </c>
      <c r="F311" s="17">
        <f t="shared" si="21"/>
        <v>0</v>
      </c>
    </row>
    <row r="312" spans="1:7" s="14" customFormat="1" x14ac:dyDescent="0.25">
      <c r="A312" s="15" t="s">
        <v>60</v>
      </c>
      <c r="B312" s="33">
        <v>2737</v>
      </c>
      <c r="C312" s="17">
        <v>2396</v>
      </c>
      <c r="D312" s="17">
        <v>2381</v>
      </c>
      <c r="E312" s="17">
        <v>2368</v>
      </c>
      <c r="F312" s="17">
        <f t="shared" si="21"/>
        <v>9882</v>
      </c>
    </row>
    <row r="313" spans="1:7" s="14" customFormat="1" x14ac:dyDescent="0.25">
      <c r="A313" s="18" t="s">
        <v>41</v>
      </c>
      <c r="B313" s="19">
        <f>SUM(B306:B312)</f>
        <v>41266</v>
      </c>
      <c r="C313" s="19">
        <f>SUM(C306:C312)</f>
        <v>42260</v>
      </c>
      <c r="D313" s="19">
        <f>SUM(D306:D312)</f>
        <v>41103</v>
      </c>
      <c r="E313" s="19">
        <f>SUM(E306:E312)</f>
        <v>49931</v>
      </c>
      <c r="F313" s="19">
        <f>SUM(F306:F312)</f>
        <v>174560</v>
      </c>
      <c r="G313" s="60"/>
    </row>
    <row r="314" spans="1:7" s="14" customFormat="1" x14ac:dyDescent="0.25">
      <c r="A314" s="21"/>
      <c r="B314"/>
      <c r="C314"/>
      <c r="D314"/>
      <c r="E314"/>
      <c r="F314"/>
    </row>
    <row r="315" spans="1:7" s="14" customFormat="1" x14ac:dyDescent="0.25">
      <c r="A315" s="21"/>
      <c r="B315"/>
      <c r="C315"/>
      <c r="D315"/>
      <c r="E315"/>
      <c r="F315"/>
    </row>
    <row r="316" spans="1:7" s="14" customFormat="1" ht="13" x14ac:dyDescent="0.3">
      <c r="A316" s="12" t="s">
        <v>172</v>
      </c>
      <c r="B316" s="13" t="str">
        <f>B305</f>
        <v>Q1 FY 18</v>
      </c>
      <c r="C316" s="13" t="str">
        <f>C305</f>
        <v>Q2 FY 18</v>
      </c>
      <c r="D316" s="13" t="str">
        <f>D305</f>
        <v>Q3 FY 18</v>
      </c>
      <c r="E316" s="13" t="str">
        <f>E305</f>
        <v>Q4 FY 18</v>
      </c>
      <c r="F316" s="13" t="str">
        <f>F305</f>
        <v>YTD</v>
      </c>
    </row>
    <row r="317" spans="1:7" s="14" customFormat="1" x14ac:dyDescent="0.25">
      <c r="A317" s="15" t="s">
        <v>27</v>
      </c>
      <c r="B317" s="17">
        <v>0</v>
      </c>
      <c r="C317" s="17">
        <v>1</v>
      </c>
      <c r="D317" s="17">
        <v>0</v>
      </c>
      <c r="E317" s="17">
        <v>4</v>
      </c>
      <c r="F317" s="17">
        <f t="shared" ref="F317:F323" si="22">B317+C317+D317+E317</f>
        <v>5</v>
      </c>
    </row>
    <row r="318" spans="1:7" s="14" customFormat="1" x14ac:dyDescent="0.25">
      <c r="A318" s="15" t="s">
        <v>31</v>
      </c>
      <c r="B318" s="17">
        <v>28035</v>
      </c>
      <c r="C318" s="17">
        <v>30357</v>
      </c>
      <c r="D318" s="17">
        <v>29714</v>
      </c>
      <c r="E318" s="17">
        <v>30999</v>
      </c>
      <c r="F318" s="17">
        <f t="shared" si="22"/>
        <v>119105</v>
      </c>
    </row>
    <row r="319" spans="1:7" s="14" customFormat="1" x14ac:dyDescent="0.25">
      <c r="A319" s="15" t="s">
        <v>30</v>
      </c>
      <c r="B319" s="17">
        <v>9272</v>
      </c>
      <c r="C319" s="17">
        <v>12336</v>
      </c>
      <c r="D319" s="17">
        <v>12864</v>
      </c>
      <c r="E319" s="17">
        <v>12000</v>
      </c>
      <c r="F319" s="17">
        <f t="shared" si="22"/>
        <v>46472</v>
      </c>
    </row>
    <row r="320" spans="1:7" s="14" customFormat="1" x14ac:dyDescent="0.25">
      <c r="A320" s="15" t="s">
        <v>22</v>
      </c>
      <c r="B320" s="17">
        <v>19903</v>
      </c>
      <c r="C320" s="17">
        <v>18590</v>
      </c>
      <c r="D320" s="17">
        <v>16492</v>
      </c>
      <c r="E320" s="17">
        <v>21136</v>
      </c>
      <c r="F320" s="17">
        <f t="shared" si="22"/>
        <v>76121</v>
      </c>
    </row>
    <row r="321" spans="1:8" s="14" customFormat="1" x14ac:dyDescent="0.25">
      <c r="A321" s="15" t="s">
        <v>21</v>
      </c>
      <c r="B321" s="17">
        <v>14062</v>
      </c>
      <c r="C321" s="17">
        <v>13013</v>
      </c>
      <c r="D321" s="17">
        <v>12488</v>
      </c>
      <c r="E321" s="17">
        <v>13946</v>
      </c>
      <c r="F321" s="17">
        <f t="shared" si="22"/>
        <v>53509</v>
      </c>
    </row>
    <row r="322" spans="1:8" s="14" customFormat="1" x14ac:dyDescent="0.25">
      <c r="A322" s="15" t="s">
        <v>23</v>
      </c>
      <c r="B322" s="17">
        <v>112</v>
      </c>
      <c r="C322" s="17">
        <v>8709</v>
      </c>
      <c r="D322" s="17">
        <v>17064</v>
      </c>
      <c r="E322" s="17">
        <v>20151</v>
      </c>
      <c r="F322" s="17">
        <f t="shared" si="22"/>
        <v>46036</v>
      </c>
    </row>
    <row r="323" spans="1:8" s="14" customFormat="1" x14ac:dyDescent="0.25">
      <c r="A323" s="15" t="s">
        <v>24</v>
      </c>
      <c r="B323" s="34">
        <v>24813</v>
      </c>
      <c r="C323" s="17">
        <v>24424</v>
      </c>
      <c r="D323" s="17">
        <v>24722</v>
      </c>
      <c r="E323" s="17">
        <v>24542</v>
      </c>
      <c r="F323" s="17">
        <f t="shared" si="22"/>
        <v>98501</v>
      </c>
      <c r="H323" s="61"/>
    </row>
    <row r="324" spans="1:8" s="14" customFormat="1" x14ac:dyDescent="0.25">
      <c r="A324" s="18" t="s">
        <v>65</v>
      </c>
      <c r="B324" s="19">
        <f>SUM(B318:B323)</f>
        <v>96197</v>
      </c>
      <c r="C324" s="19">
        <f>SUM(C317:C323)</f>
        <v>107430</v>
      </c>
      <c r="D324" s="19">
        <f>SUM(D318:D323)</f>
        <v>113344</v>
      </c>
      <c r="E324" s="19">
        <f>SUM(E317:E323)</f>
        <v>122778</v>
      </c>
      <c r="F324" s="19">
        <f>SUM(F317:F323)</f>
        <v>439749</v>
      </c>
      <c r="G324" s="60"/>
    </row>
    <row r="325" spans="1:8" s="14" customFormat="1" x14ac:dyDescent="0.25">
      <c r="A325" s="21"/>
      <c r="B325"/>
      <c r="C325"/>
      <c r="D325"/>
      <c r="E325"/>
      <c r="F325"/>
    </row>
    <row r="326" spans="1:8" s="14" customFormat="1" ht="13" x14ac:dyDescent="0.3">
      <c r="A326" s="21"/>
      <c r="B326" s="13" t="str">
        <f>B316</f>
        <v>Q1 FY 18</v>
      </c>
      <c r="C326" s="13" t="str">
        <f>C316</f>
        <v>Q2 FY 18</v>
      </c>
      <c r="D326" s="13" t="str">
        <f>D316</f>
        <v>Q3 FY 18</v>
      </c>
      <c r="E326" s="13" t="str">
        <f>E316</f>
        <v>Q4 FY 18</v>
      </c>
      <c r="F326" s="13" t="str">
        <f>F316</f>
        <v>YTD</v>
      </c>
    </row>
    <row r="327" spans="1:8" s="14" customFormat="1" x14ac:dyDescent="0.25">
      <c r="A327" s="12" t="s">
        <v>170</v>
      </c>
      <c r="B327" s="19">
        <f>B324+B313</f>
        <v>137463</v>
      </c>
      <c r="C327" s="19">
        <f>C324+C313</f>
        <v>149690</v>
      </c>
      <c r="D327" s="19">
        <f>D324+D313</f>
        <v>154447</v>
      </c>
      <c r="E327" s="19">
        <f>E324+E313</f>
        <v>172709</v>
      </c>
      <c r="F327" s="19">
        <f>F324+F313</f>
        <v>614309</v>
      </c>
      <c r="G327" s="60"/>
    </row>
    <row r="328" spans="1:8" s="14" customFormat="1" x14ac:dyDescent="0.25">
      <c r="A328" s="35"/>
      <c r="B328" s="24"/>
      <c r="C328" s="24"/>
      <c r="D328" s="24"/>
      <c r="E328" s="24"/>
      <c r="F328" s="24"/>
    </row>
    <row r="329" spans="1:8" s="42" customFormat="1" ht="12" x14ac:dyDescent="0.3">
      <c r="A329" s="12" t="s">
        <v>75</v>
      </c>
      <c r="B329" s="13" t="str">
        <f>B305</f>
        <v>Q1 FY 18</v>
      </c>
      <c r="C329" s="13" t="str">
        <f>C305</f>
        <v>Q2 FY 18</v>
      </c>
      <c r="D329" s="13" t="str">
        <f>D305</f>
        <v>Q3 FY 18</v>
      </c>
      <c r="E329" s="13" t="str">
        <f>E305</f>
        <v>Q4 FY 18</v>
      </c>
      <c r="F329" s="13" t="str">
        <f>F305</f>
        <v>YTD</v>
      </c>
    </row>
    <row r="330" spans="1:8" s="42" customFormat="1" ht="12" x14ac:dyDescent="0.3">
      <c r="A330" s="36" t="s">
        <v>76</v>
      </c>
      <c r="B330" s="37">
        <v>4978</v>
      </c>
      <c r="C330" s="37">
        <v>5598</v>
      </c>
      <c r="D330" s="37">
        <v>5839</v>
      </c>
      <c r="E330" s="37">
        <v>5242</v>
      </c>
      <c r="F330" s="43">
        <f>SUM(B330:E330)</f>
        <v>21657</v>
      </c>
    </row>
    <row r="331" spans="1:8" s="42" customFormat="1" ht="12" x14ac:dyDescent="0.3">
      <c r="A331" s="36" t="s">
        <v>77</v>
      </c>
      <c r="B331" s="37" t="s">
        <v>177</v>
      </c>
      <c r="C331" s="37" t="s">
        <v>177</v>
      </c>
      <c r="D331" s="37">
        <v>218</v>
      </c>
      <c r="E331" s="37">
        <v>2229</v>
      </c>
      <c r="F331" s="43">
        <f>SUM(B331:E331)</f>
        <v>2447</v>
      </c>
    </row>
    <row r="332" spans="1:8" s="42" customFormat="1" ht="12" x14ac:dyDescent="0.3">
      <c r="A332" s="36" t="s">
        <v>63</v>
      </c>
      <c r="B332" s="37">
        <v>10637</v>
      </c>
      <c r="C332" s="37">
        <v>11274</v>
      </c>
      <c r="D332" s="37">
        <v>11797</v>
      </c>
      <c r="E332" s="37">
        <v>10653</v>
      </c>
      <c r="F332" s="43">
        <f>SUM(B332:E332)</f>
        <v>44361</v>
      </c>
    </row>
    <row r="333" spans="1:8" s="42" customFormat="1" ht="12" x14ac:dyDescent="0.3">
      <c r="A333" s="36" t="s">
        <v>64</v>
      </c>
      <c r="B333" s="37">
        <v>4694</v>
      </c>
      <c r="C333" s="37">
        <v>4856</v>
      </c>
      <c r="D333" s="37">
        <v>5534</v>
      </c>
      <c r="E333" s="37">
        <v>4225</v>
      </c>
      <c r="F333" s="43">
        <f>SUM(B333:E333)</f>
        <v>19309</v>
      </c>
    </row>
    <row r="334" spans="1:8" s="14" customFormat="1" x14ac:dyDescent="0.25">
      <c r="A334" s="21"/>
      <c r="B334"/>
      <c r="C334"/>
      <c r="D334"/>
      <c r="E334"/>
      <c r="F334"/>
    </row>
    <row r="335" spans="1:8" s="44" customFormat="1" x14ac:dyDescent="0.25">
      <c r="A335" s="27"/>
      <c r="B335" s="27"/>
      <c r="C335" s="28"/>
      <c r="D335" s="28"/>
      <c r="E335" s="28"/>
      <c r="F335" s="28"/>
    </row>
    <row r="336" spans="1:8" s="14" customFormat="1" x14ac:dyDescent="0.25">
      <c r="A336" s="45"/>
      <c r="B336" s="50"/>
      <c r="C336" s="50"/>
      <c r="D336" s="50"/>
      <c r="E336" s="50"/>
    </row>
    <row r="337" spans="1:7" s="14" customFormat="1" ht="13" x14ac:dyDescent="0.3">
      <c r="A337" s="11" t="s">
        <v>109</v>
      </c>
      <c r="B337"/>
      <c r="C337"/>
      <c r="D337"/>
      <c r="E337"/>
      <c r="F337"/>
    </row>
    <row r="338" spans="1:7" s="14" customFormat="1" ht="13" x14ac:dyDescent="0.3">
      <c r="A338" s="29"/>
      <c r="B338"/>
      <c r="C338"/>
      <c r="D338"/>
      <c r="E338"/>
      <c r="F338"/>
    </row>
    <row r="339" spans="1:7" s="14" customFormat="1" ht="13" x14ac:dyDescent="0.3">
      <c r="A339" s="12" t="s">
        <v>169</v>
      </c>
      <c r="B339" s="13" t="s">
        <v>110</v>
      </c>
      <c r="C339" s="13" t="s">
        <v>111</v>
      </c>
      <c r="D339" s="13" t="s">
        <v>112</v>
      </c>
      <c r="E339" s="13" t="s">
        <v>113</v>
      </c>
      <c r="F339" s="13" t="s">
        <v>20</v>
      </c>
    </row>
    <row r="340" spans="1:7" s="14" customFormat="1" x14ac:dyDescent="0.25">
      <c r="A340" s="15" t="s">
        <v>55</v>
      </c>
      <c r="B340" s="17">
        <v>9209</v>
      </c>
      <c r="C340" s="17">
        <v>11176</v>
      </c>
      <c r="D340" s="17">
        <v>10878</v>
      </c>
      <c r="E340" s="17">
        <v>14206</v>
      </c>
      <c r="F340" s="17">
        <f t="shared" ref="F340:F345" si="23">B340+C340+D340+E340</f>
        <v>45469</v>
      </c>
    </row>
    <row r="341" spans="1:7" s="14" customFormat="1" x14ac:dyDescent="0.25">
      <c r="A341" s="15" t="s">
        <v>35</v>
      </c>
      <c r="B341" s="17">
        <v>7886</v>
      </c>
      <c r="C341" s="17">
        <v>7963</v>
      </c>
      <c r="D341" s="17">
        <v>9745</v>
      </c>
      <c r="E341" s="17">
        <v>11563</v>
      </c>
      <c r="F341" s="17">
        <f t="shared" si="23"/>
        <v>37157</v>
      </c>
    </row>
    <row r="342" spans="1:7" s="14" customFormat="1" x14ac:dyDescent="0.25">
      <c r="A342" s="15" t="s">
        <v>57</v>
      </c>
      <c r="B342" s="17">
        <v>2540</v>
      </c>
      <c r="C342" s="17">
        <v>2772</v>
      </c>
      <c r="D342" s="17">
        <v>3049</v>
      </c>
      <c r="E342" s="17">
        <v>3128</v>
      </c>
      <c r="F342" s="17">
        <f t="shared" si="23"/>
        <v>11489</v>
      </c>
    </row>
    <row r="343" spans="1:7" s="14" customFormat="1" x14ac:dyDescent="0.25">
      <c r="A343" s="15" t="s">
        <v>178</v>
      </c>
      <c r="B343" s="17">
        <v>9467</v>
      </c>
      <c r="C343" s="17">
        <v>17157</v>
      </c>
      <c r="D343" s="17">
        <v>19336</v>
      </c>
      <c r="E343" s="17">
        <v>21995</v>
      </c>
      <c r="F343" s="17">
        <f t="shared" si="23"/>
        <v>67955</v>
      </c>
    </row>
    <row r="344" spans="1:7" s="14" customFormat="1" x14ac:dyDescent="0.25">
      <c r="A344" s="15" t="s">
        <v>84</v>
      </c>
      <c r="B344" s="17">
        <v>1</v>
      </c>
      <c r="C344" s="17">
        <v>0</v>
      </c>
      <c r="D344" s="17">
        <v>0</v>
      </c>
      <c r="E344" s="17">
        <v>0</v>
      </c>
      <c r="F344" s="17">
        <f t="shared" si="23"/>
        <v>1</v>
      </c>
    </row>
    <row r="345" spans="1:7" s="14" customFormat="1" x14ac:dyDescent="0.25">
      <c r="A345" s="15" t="s">
        <v>60</v>
      </c>
      <c r="B345" s="33">
        <v>2703</v>
      </c>
      <c r="C345" s="17">
        <v>2638</v>
      </c>
      <c r="D345" s="17">
        <v>2356</v>
      </c>
      <c r="E345" s="17">
        <v>3080</v>
      </c>
      <c r="F345" s="17">
        <f t="shared" si="23"/>
        <v>10777</v>
      </c>
    </row>
    <row r="346" spans="1:7" s="14" customFormat="1" x14ac:dyDescent="0.25">
      <c r="A346" s="18" t="s">
        <v>41</v>
      </c>
      <c r="B346" s="19">
        <f>SUM(B340:B345)</f>
        <v>31806</v>
      </c>
      <c r="C346" s="19">
        <f>SUM(C340:C345)</f>
        <v>41706</v>
      </c>
      <c r="D346" s="19">
        <f>SUM(D340:D345)</f>
        <v>45364</v>
      </c>
      <c r="E346" s="19">
        <f>SUM(E340:E345)</f>
        <v>53972</v>
      </c>
      <c r="F346" s="19">
        <f>SUM(F340:F345)</f>
        <v>172848</v>
      </c>
      <c r="G346" s="60"/>
    </row>
    <row r="347" spans="1:7" s="14" customFormat="1" x14ac:dyDescent="0.25">
      <c r="A347" s="21"/>
      <c r="B347"/>
      <c r="C347"/>
      <c r="D347"/>
      <c r="E347"/>
      <c r="F347"/>
    </row>
    <row r="348" spans="1:7" s="14" customFormat="1" x14ac:dyDescent="0.25">
      <c r="A348" s="21"/>
      <c r="B348"/>
      <c r="C348"/>
      <c r="D348"/>
      <c r="E348"/>
      <c r="F348"/>
    </row>
    <row r="349" spans="1:7" s="14" customFormat="1" ht="13" x14ac:dyDescent="0.3">
      <c r="A349" s="12" t="s">
        <v>172</v>
      </c>
      <c r="B349" s="13" t="str">
        <f>B339</f>
        <v>Q1 FY 17</v>
      </c>
      <c r="C349" s="13" t="str">
        <f>C339</f>
        <v>Q2 FY 17</v>
      </c>
      <c r="D349" s="13" t="str">
        <f>D339</f>
        <v>Q3 FY 17</v>
      </c>
      <c r="E349" s="13" t="str">
        <f>E339</f>
        <v>Q4 FY 17</v>
      </c>
      <c r="F349" s="13" t="str">
        <f>F339</f>
        <v>YTD</v>
      </c>
    </row>
    <row r="350" spans="1:7" s="14" customFormat="1" x14ac:dyDescent="0.25">
      <c r="A350" s="15" t="s">
        <v>27</v>
      </c>
      <c r="B350" s="17">
        <v>740</v>
      </c>
      <c r="C350" s="17">
        <v>393</v>
      </c>
      <c r="D350" s="17">
        <v>59</v>
      </c>
      <c r="E350" s="17">
        <v>188</v>
      </c>
      <c r="F350" s="17">
        <f>B350+C350+D350+E350</f>
        <v>1380</v>
      </c>
    </row>
    <row r="351" spans="1:7" s="14" customFormat="1" x14ac:dyDescent="0.25">
      <c r="A351" s="15" t="s">
        <v>62</v>
      </c>
      <c r="B351" s="17">
        <v>2</v>
      </c>
      <c r="C351" s="17">
        <v>3</v>
      </c>
      <c r="D351" s="17">
        <v>2</v>
      </c>
      <c r="E351" s="17">
        <v>0</v>
      </c>
      <c r="F351" s="17">
        <f t="shared" ref="F351:F356" si="24">B351+C351+D351+E351</f>
        <v>7</v>
      </c>
    </row>
    <row r="352" spans="1:7" s="14" customFormat="1" x14ac:dyDescent="0.25">
      <c r="A352" s="15" t="s">
        <v>31</v>
      </c>
      <c r="B352" s="17">
        <v>29110</v>
      </c>
      <c r="C352" s="17">
        <v>28283</v>
      </c>
      <c r="D352" s="17">
        <v>30787</v>
      </c>
      <c r="E352" s="17">
        <v>37972</v>
      </c>
      <c r="F352" s="17">
        <f t="shared" si="24"/>
        <v>126152</v>
      </c>
    </row>
    <row r="353" spans="1:8" s="14" customFormat="1" x14ac:dyDescent="0.25">
      <c r="A353" s="15" t="s">
        <v>30</v>
      </c>
      <c r="B353" s="17">
        <v>12387</v>
      </c>
      <c r="C353" s="17">
        <v>13263</v>
      </c>
      <c r="D353" s="17">
        <v>8009</v>
      </c>
      <c r="E353" s="17">
        <v>8364</v>
      </c>
      <c r="F353" s="17">
        <f t="shared" si="24"/>
        <v>42023</v>
      </c>
    </row>
    <row r="354" spans="1:8" s="14" customFormat="1" x14ac:dyDescent="0.25">
      <c r="A354" s="15" t="s">
        <v>107</v>
      </c>
      <c r="B354" s="17">
        <v>20583</v>
      </c>
      <c r="C354" s="17">
        <v>20212</v>
      </c>
      <c r="D354" s="17">
        <v>22723</v>
      </c>
      <c r="E354" s="17">
        <v>26228</v>
      </c>
      <c r="F354" s="17">
        <f t="shared" si="24"/>
        <v>89746</v>
      </c>
    </row>
    <row r="355" spans="1:8" s="14" customFormat="1" x14ac:dyDescent="0.25">
      <c r="A355" s="15" t="s">
        <v>108</v>
      </c>
      <c r="B355" s="17">
        <v>12362</v>
      </c>
      <c r="C355" s="17">
        <v>12532</v>
      </c>
      <c r="D355" s="17">
        <v>14656</v>
      </c>
      <c r="E355" s="17">
        <v>17930</v>
      </c>
      <c r="F355" s="17">
        <f t="shared" si="24"/>
        <v>57480</v>
      </c>
    </row>
    <row r="356" spans="1:8" s="14" customFormat="1" x14ac:dyDescent="0.25">
      <c r="A356" s="15" t="s">
        <v>24</v>
      </c>
      <c r="B356" s="34">
        <v>25763</v>
      </c>
      <c r="C356" s="17">
        <v>26067</v>
      </c>
      <c r="D356" s="17">
        <v>27688</v>
      </c>
      <c r="E356" s="17">
        <v>34855</v>
      </c>
      <c r="F356" s="17">
        <f t="shared" si="24"/>
        <v>114373</v>
      </c>
      <c r="H356" s="61"/>
    </row>
    <row r="357" spans="1:8" s="14" customFormat="1" x14ac:dyDescent="0.25">
      <c r="A357" s="18" t="s">
        <v>65</v>
      </c>
      <c r="B357" s="19">
        <f>SUM(B350:B356)</f>
        <v>100947</v>
      </c>
      <c r="C357" s="19">
        <f>SUM(C350:C356)</f>
        <v>100753</v>
      </c>
      <c r="D357" s="19">
        <f>SUM(D350:D356)</f>
        <v>103924</v>
      </c>
      <c r="E357" s="19">
        <f>SUM(E350:E356)</f>
        <v>125537</v>
      </c>
      <c r="F357" s="19">
        <f>SUM(F350:F356)</f>
        <v>431161</v>
      </c>
      <c r="G357" s="60"/>
    </row>
    <row r="358" spans="1:8" s="14" customFormat="1" x14ac:dyDescent="0.25">
      <c r="A358" s="21"/>
      <c r="B358"/>
      <c r="C358"/>
      <c r="D358"/>
      <c r="E358"/>
      <c r="F358"/>
    </row>
    <row r="359" spans="1:8" s="14" customFormat="1" ht="13" x14ac:dyDescent="0.3">
      <c r="A359" s="21"/>
      <c r="B359" s="13" t="str">
        <f>B349</f>
        <v>Q1 FY 17</v>
      </c>
      <c r="C359" s="13" t="str">
        <f>C349</f>
        <v>Q2 FY 17</v>
      </c>
      <c r="D359" s="13" t="str">
        <f>D349</f>
        <v>Q3 FY 17</v>
      </c>
      <c r="E359" s="13" t="str">
        <f>E349</f>
        <v>Q4 FY 17</v>
      </c>
      <c r="F359" s="13" t="str">
        <f>F349</f>
        <v>YTD</v>
      </c>
    </row>
    <row r="360" spans="1:8" s="14" customFormat="1" x14ac:dyDescent="0.25">
      <c r="A360" s="12" t="s">
        <v>170</v>
      </c>
      <c r="B360" s="19">
        <f>B357+B346</f>
        <v>132753</v>
      </c>
      <c r="C360" s="19">
        <f>C357+C346</f>
        <v>142459</v>
      </c>
      <c r="D360" s="19">
        <f>D357+D346</f>
        <v>149288</v>
      </c>
      <c r="E360" s="19">
        <f>E357+E346</f>
        <v>179509</v>
      </c>
      <c r="F360" s="19">
        <f>F357+F346</f>
        <v>604009</v>
      </c>
      <c r="G360" s="60"/>
    </row>
    <row r="361" spans="1:8" s="14" customFormat="1" x14ac:dyDescent="0.25">
      <c r="A361" s="35"/>
      <c r="B361" s="24"/>
      <c r="C361" s="24"/>
      <c r="D361" s="24"/>
      <c r="E361" s="24"/>
      <c r="F361" s="24"/>
    </row>
    <row r="362" spans="1:8" s="42" customFormat="1" ht="12" x14ac:dyDescent="0.3">
      <c r="A362" s="12" t="s">
        <v>75</v>
      </c>
      <c r="B362" s="13" t="e">
        <f>#REF!</f>
        <v>#REF!</v>
      </c>
      <c r="C362" s="13" t="e">
        <f>#REF!</f>
        <v>#REF!</v>
      </c>
      <c r="D362" s="13" t="e">
        <f>#REF!</f>
        <v>#REF!</v>
      </c>
      <c r="E362" s="13" t="e">
        <f>#REF!</f>
        <v>#REF!</v>
      </c>
      <c r="F362" s="13" t="e">
        <f>#REF!</f>
        <v>#REF!</v>
      </c>
    </row>
    <row r="363" spans="1:8" s="42" customFormat="1" ht="12" x14ac:dyDescent="0.3">
      <c r="A363" s="36" t="s">
        <v>76</v>
      </c>
      <c r="B363" s="37">
        <v>0</v>
      </c>
      <c r="C363" s="37">
        <v>594</v>
      </c>
      <c r="D363" s="37">
        <v>3803</v>
      </c>
      <c r="E363" s="37">
        <v>3510</v>
      </c>
      <c r="F363" s="43">
        <f>SUM(B363:E363)</f>
        <v>7907</v>
      </c>
    </row>
    <row r="364" spans="1:8" s="42" customFormat="1" ht="12" x14ac:dyDescent="0.3">
      <c r="A364" s="36" t="s">
        <v>63</v>
      </c>
      <c r="B364" s="37">
        <v>9713</v>
      </c>
      <c r="C364" s="37">
        <v>8737</v>
      </c>
      <c r="D364" s="37">
        <v>10406</v>
      </c>
      <c r="E364" s="37">
        <v>10052</v>
      </c>
      <c r="F364" s="43">
        <f>SUM(B364:E364)</f>
        <v>38908</v>
      </c>
    </row>
    <row r="365" spans="1:8" s="42" customFormat="1" ht="12" x14ac:dyDescent="0.3">
      <c r="A365" s="36" t="s">
        <v>64</v>
      </c>
      <c r="B365" s="37">
        <v>4326</v>
      </c>
      <c r="C365" s="37">
        <v>4161</v>
      </c>
      <c r="D365" s="37">
        <v>5186</v>
      </c>
      <c r="E365" s="37">
        <v>4535</v>
      </c>
      <c r="F365" s="43">
        <f>SUM(B365:E365)</f>
        <v>18208</v>
      </c>
    </row>
    <row r="366" spans="1:8" s="14" customFormat="1" x14ac:dyDescent="0.25">
      <c r="A366" s="21"/>
      <c r="B366"/>
      <c r="C366"/>
      <c r="D366"/>
      <c r="E366"/>
      <c r="F366"/>
    </row>
    <row r="367" spans="1:8" s="44" customFormat="1" x14ac:dyDescent="0.25">
      <c r="A367" s="27"/>
      <c r="B367" s="27"/>
      <c r="C367" s="28"/>
      <c r="D367" s="28"/>
      <c r="E367" s="28"/>
      <c r="F367" s="28"/>
    </row>
    <row r="368" spans="1:8" x14ac:dyDescent="0.25">
      <c r="A368" s="25"/>
    </row>
    <row r="369" spans="1:6" ht="13" x14ac:dyDescent="0.3">
      <c r="A369" s="11" t="s">
        <v>115</v>
      </c>
    </row>
    <row r="370" spans="1:6" ht="13" x14ac:dyDescent="0.3">
      <c r="A370" s="29"/>
    </row>
    <row r="371" spans="1:6" ht="13" x14ac:dyDescent="0.3">
      <c r="A371" s="12" t="s">
        <v>169</v>
      </c>
      <c r="B371" s="13" t="s">
        <v>116</v>
      </c>
      <c r="C371" s="13" t="s">
        <v>117</v>
      </c>
      <c r="D371" s="13" t="s">
        <v>118</v>
      </c>
      <c r="E371" s="13" t="s">
        <v>119</v>
      </c>
      <c r="F371" s="13" t="s">
        <v>20</v>
      </c>
    </row>
    <row r="372" spans="1:6" x14ac:dyDescent="0.25">
      <c r="A372" s="15" t="s">
        <v>55</v>
      </c>
      <c r="B372" s="17">
        <v>2889</v>
      </c>
      <c r="C372" s="17">
        <v>9310</v>
      </c>
      <c r="D372" s="17">
        <v>11420</v>
      </c>
      <c r="E372" s="17">
        <v>12833</v>
      </c>
      <c r="F372" s="17">
        <f t="shared" ref="F372:F377" si="25">B372+C372+D372+E372</f>
        <v>36452</v>
      </c>
    </row>
    <row r="373" spans="1:6" x14ac:dyDescent="0.25">
      <c r="A373" s="15" t="s">
        <v>56</v>
      </c>
      <c r="B373" s="17">
        <v>8832</v>
      </c>
      <c r="C373" s="17">
        <v>7598</v>
      </c>
      <c r="D373" s="17">
        <v>6802</v>
      </c>
      <c r="E373" s="17">
        <v>10950</v>
      </c>
      <c r="F373" s="17">
        <f t="shared" si="25"/>
        <v>34182</v>
      </c>
    </row>
    <row r="374" spans="1:6" x14ac:dyDescent="0.25">
      <c r="A374" s="15" t="s">
        <v>57</v>
      </c>
      <c r="B374" s="17">
        <v>3075</v>
      </c>
      <c r="C374" s="17">
        <v>2715</v>
      </c>
      <c r="D374" s="17">
        <v>2991</v>
      </c>
      <c r="E374" s="17">
        <v>2954</v>
      </c>
      <c r="F374" s="17">
        <f t="shared" si="25"/>
        <v>11735</v>
      </c>
    </row>
    <row r="375" spans="1:6" x14ac:dyDescent="0.25">
      <c r="A375" s="15" t="s">
        <v>178</v>
      </c>
      <c r="B375" s="17"/>
      <c r="C375" s="17"/>
      <c r="D375" s="17"/>
      <c r="E375" s="17">
        <v>13</v>
      </c>
      <c r="F375" s="17">
        <f t="shared" si="25"/>
        <v>13</v>
      </c>
    </row>
    <row r="376" spans="1:6" x14ac:dyDescent="0.25">
      <c r="A376" s="15" t="s">
        <v>84</v>
      </c>
      <c r="B376" s="17">
        <v>137</v>
      </c>
      <c r="C376" s="17">
        <v>77</v>
      </c>
      <c r="D376" s="17">
        <v>12</v>
      </c>
      <c r="E376" s="17">
        <v>2</v>
      </c>
      <c r="F376" s="17">
        <f t="shared" si="25"/>
        <v>228</v>
      </c>
    </row>
    <row r="377" spans="1:6" x14ac:dyDescent="0.25">
      <c r="A377" s="15" t="s">
        <v>60</v>
      </c>
      <c r="B377" s="33">
        <v>3175</v>
      </c>
      <c r="C377" s="17">
        <v>2946</v>
      </c>
      <c r="D377" s="17">
        <v>2616</v>
      </c>
      <c r="E377" s="17">
        <v>3102</v>
      </c>
      <c r="F377" s="17">
        <f t="shared" si="25"/>
        <v>11839</v>
      </c>
    </row>
    <row r="378" spans="1:6" x14ac:dyDescent="0.25">
      <c r="A378" s="18" t="s">
        <v>41</v>
      </c>
      <c r="B378" s="19">
        <f>SUM(B372:B377)</f>
        <v>18108</v>
      </c>
      <c r="C378" s="19">
        <f>SUM(C372:C377)</f>
        <v>22646</v>
      </c>
      <c r="D378" s="19">
        <f>SUM(D372:D377)</f>
        <v>23841</v>
      </c>
      <c r="E378" s="19">
        <f>SUM(E372:E377)</f>
        <v>29854</v>
      </c>
      <c r="F378" s="19">
        <f>SUM(F372:F377)</f>
        <v>94449</v>
      </c>
    </row>
    <row r="381" spans="1:6" ht="13" x14ac:dyDescent="0.3">
      <c r="A381" s="12" t="s">
        <v>172</v>
      </c>
      <c r="B381" s="13" t="str">
        <f>B371</f>
        <v>Q1 FY 16</v>
      </c>
      <c r="C381" s="13" t="str">
        <f>C371</f>
        <v>Q2 FY 16</v>
      </c>
      <c r="D381" s="13" t="str">
        <f>D371</f>
        <v>Q3 FY 16</v>
      </c>
      <c r="E381" s="13" t="str">
        <f>E371</f>
        <v>Q4 FY 16</v>
      </c>
      <c r="F381" s="13" t="str">
        <f>F371</f>
        <v>YTD</v>
      </c>
    </row>
    <row r="382" spans="1:6" x14ac:dyDescent="0.25">
      <c r="A382" s="15" t="s">
        <v>27</v>
      </c>
      <c r="B382" s="17">
        <v>5372</v>
      </c>
      <c r="C382" s="17">
        <v>5619</v>
      </c>
      <c r="D382" s="17">
        <v>5997</v>
      </c>
      <c r="E382" s="17">
        <v>5516</v>
      </c>
      <c r="F382" s="17">
        <f>B382+C382+D382+E382</f>
        <v>22504</v>
      </c>
    </row>
    <row r="383" spans="1:6" x14ac:dyDescent="0.25">
      <c r="A383" s="15" t="s">
        <v>62</v>
      </c>
      <c r="B383" s="17">
        <v>163</v>
      </c>
      <c r="C383" s="17">
        <v>41</v>
      </c>
      <c r="D383" s="17">
        <v>24</v>
      </c>
      <c r="E383" s="17">
        <v>7</v>
      </c>
      <c r="F383" s="17">
        <f t="shared" ref="F383:F388" si="26">B383+C383+D383+E383</f>
        <v>235</v>
      </c>
    </row>
    <row r="384" spans="1:6" x14ac:dyDescent="0.25">
      <c r="A384" s="15" t="s">
        <v>63</v>
      </c>
      <c r="B384" s="17">
        <v>17000</v>
      </c>
      <c r="C384" s="17">
        <v>18021</v>
      </c>
      <c r="D384" s="17">
        <v>26588</v>
      </c>
      <c r="E384" s="17">
        <v>34280</v>
      </c>
      <c r="F384" s="17">
        <f t="shared" si="26"/>
        <v>95889</v>
      </c>
    </row>
    <row r="385" spans="1:14" x14ac:dyDescent="0.25">
      <c r="A385" s="15" t="s">
        <v>30</v>
      </c>
      <c r="B385" s="17">
        <v>11115</v>
      </c>
      <c r="C385" s="17">
        <v>10344</v>
      </c>
      <c r="D385" s="17">
        <v>13844</v>
      </c>
      <c r="E385" s="17">
        <v>15769</v>
      </c>
      <c r="F385" s="17">
        <f t="shared" si="26"/>
        <v>51072</v>
      </c>
    </row>
    <row r="386" spans="1:14" x14ac:dyDescent="0.25">
      <c r="A386" s="15" t="s">
        <v>107</v>
      </c>
      <c r="B386" s="17">
        <v>21054</v>
      </c>
      <c r="C386" s="17">
        <v>19234</v>
      </c>
      <c r="D386" s="17">
        <v>22386</v>
      </c>
      <c r="E386" s="17">
        <v>24241</v>
      </c>
      <c r="F386" s="17">
        <f t="shared" si="26"/>
        <v>86915</v>
      </c>
    </row>
    <row r="387" spans="1:14" x14ac:dyDescent="0.25">
      <c r="A387" s="15" t="s">
        <v>64</v>
      </c>
      <c r="B387" s="17">
        <v>27415</v>
      </c>
      <c r="C387" s="17">
        <v>21744</v>
      </c>
      <c r="D387" s="17">
        <v>28406</v>
      </c>
      <c r="E387" s="17">
        <v>32968</v>
      </c>
      <c r="F387" s="17">
        <f t="shared" si="26"/>
        <v>110533</v>
      </c>
    </row>
    <row r="388" spans="1:14" x14ac:dyDescent="0.25">
      <c r="A388" s="15" t="s">
        <v>108</v>
      </c>
      <c r="B388" s="34">
        <v>14678</v>
      </c>
      <c r="C388" s="17">
        <v>12551</v>
      </c>
      <c r="D388" s="17">
        <v>16567</v>
      </c>
      <c r="E388" s="17">
        <v>16178</v>
      </c>
      <c r="F388" s="17">
        <f t="shared" si="26"/>
        <v>59974</v>
      </c>
    </row>
    <row r="389" spans="1:14" x14ac:dyDescent="0.25">
      <c r="A389" s="18" t="s">
        <v>65</v>
      </c>
      <c r="B389" s="19">
        <f>SUM(B382:B388)</f>
        <v>96797</v>
      </c>
      <c r="C389" s="19">
        <f>SUM(C382:C388)</f>
        <v>87554</v>
      </c>
      <c r="D389" s="19">
        <f>SUM(D382:D388)</f>
        <v>113812</v>
      </c>
      <c r="E389" s="19">
        <f>SUM(E382:E388)</f>
        <v>128959</v>
      </c>
      <c r="F389" s="19">
        <f>SUM(F382:F388)</f>
        <v>427122</v>
      </c>
    </row>
    <row r="391" spans="1:14" ht="13" x14ac:dyDescent="0.3">
      <c r="B391" s="13" t="str">
        <f>B381</f>
        <v>Q1 FY 16</v>
      </c>
      <c r="C391" s="13" t="str">
        <f>C381</f>
        <v>Q2 FY 16</v>
      </c>
      <c r="D391" s="13" t="str">
        <f>D381</f>
        <v>Q3 FY 16</v>
      </c>
      <c r="E391" s="13" t="str">
        <f>E381</f>
        <v>Q4 FY 16</v>
      </c>
      <c r="F391" s="13" t="str">
        <f>F381</f>
        <v>YTD</v>
      </c>
    </row>
    <row r="392" spans="1:14" x14ac:dyDescent="0.25">
      <c r="A392" s="12" t="s">
        <v>170</v>
      </c>
      <c r="B392" s="19">
        <f>B389+B378</f>
        <v>114905</v>
      </c>
      <c r="C392" s="19">
        <f>C389+C378</f>
        <v>110200</v>
      </c>
      <c r="D392" s="19">
        <f>D389+D378</f>
        <v>137653</v>
      </c>
      <c r="E392" s="19">
        <f>E389+E378</f>
        <v>158813</v>
      </c>
      <c r="F392" s="19">
        <f>F389+F378</f>
        <v>521571</v>
      </c>
    </row>
    <row r="394" spans="1:14" s="46" customFormat="1" ht="11.5" x14ac:dyDescent="0.25">
      <c r="A394" s="27"/>
      <c r="B394" s="27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</row>
    <row r="395" spans="1:14" x14ac:dyDescent="0.25">
      <c r="A395" s="25"/>
    </row>
    <row r="396" spans="1:14" ht="13" x14ac:dyDescent="0.3">
      <c r="A396" s="11" t="s">
        <v>120</v>
      </c>
    </row>
    <row r="397" spans="1:14" ht="13" x14ac:dyDescent="0.3">
      <c r="A397" s="29"/>
    </row>
    <row r="398" spans="1:14" ht="13" x14ac:dyDescent="0.3">
      <c r="A398" s="12" t="s">
        <v>169</v>
      </c>
      <c r="B398" s="13" t="s">
        <v>179</v>
      </c>
      <c r="C398" s="13" t="s">
        <v>180</v>
      </c>
      <c r="D398" s="13" t="s">
        <v>181</v>
      </c>
      <c r="E398" s="13" t="s">
        <v>182</v>
      </c>
      <c r="F398" s="13" t="s">
        <v>20</v>
      </c>
    </row>
    <row r="399" spans="1:14" x14ac:dyDescent="0.25">
      <c r="A399" s="15" t="s">
        <v>55</v>
      </c>
      <c r="B399" s="17"/>
      <c r="C399" s="17"/>
      <c r="D399" s="17"/>
      <c r="E399" s="17">
        <v>2</v>
      </c>
      <c r="F399" s="17">
        <f>B399+C399+D399+E399</f>
        <v>2</v>
      </c>
    </row>
    <row r="400" spans="1:14" x14ac:dyDescent="0.25">
      <c r="A400" s="15" t="s">
        <v>56</v>
      </c>
      <c r="B400" s="17">
        <v>10905</v>
      </c>
      <c r="C400" s="17">
        <v>11217</v>
      </c>
      <c r="D400" s="17">
        <v>11104</v>
      </c>
      <c r="E400" s="17">
        <v>12443</v>
      </c>
      <c r="F400" s="17">
        <f>B400+C400+D400+E400</f>
        <v>45669</v>
      </c>
    </row>
    <row r="401" spans="1:6" x14ac:dyDescent="0.25">
      <c r="A401" s="15" t="s">
        <v>57</v>
      </c>
      <c r="B401" s="17">
        <v>4412</v>
      </c>
      <c r="C401" s="17">
        <v>4365</v>
      </c>
      <c r="D401" s="17">
        <v>4034</v>
      </c>
      <c r="E401" s="17">
        <v>3755</v>
      </c>
      <c r="F401" s="17">
        <f>B401+C401+D401+E401</f>
        <v>16566</v>
      </c>
    </row>
    <row r="402" spans="1:6" x14ac:dyDescent="0.25">
      <c r="A402" s="15" t="s">
        <v>84</v>
      </c>
      <c r="B402" s="17">
        <v>926</v>
      </c>
      <c r="C402" s="17">
        <v>871</v>
      </c>
      <c r="D402" s="17">
        <v>500</v>
      </c>
      <c r="E402" s="17">
        <v>266</v>
      </c>
      <c r="F402" s="17">
        <f>B402+C402+D402+E402</f>
        <v>2563</v>
      </c>
    </row>
    <row r="403" spans="1:6" x14ac:dyDescent="0.25">
      <c r="A403" s="15" t="s">
        <v>60</v>
      </c>
      <c r="B403" s="33">
        <v>3313</v>
      </c>
      <c r="C403" s="33">
        <v>3194</v>
      </c>
      <c r="D403" s="33">
        <v>2698</v>
      </c>
      <c r="E403" s="33">
        <v>2925</v>
      </c>
      <c r="F403" s="17">
        <f>B403+C403+D403+E403</f>
        <v>12130</v>
      </c>
    </row>
    <row r="404" spans="1:6" x14ac:dyDescent="0.25">
      <c r="A404" s="18" t="s">
        <v>41</v>
      </c>
      <c r="B404" s="19">
        <f>SUM(B400:B403)</f>
        <v>19556</v>
      </c>
      <c r="C404" s="19">
        <f>SUM(C400:C403)</f>
        <v>19647</v>
      </c>
      <c r="D404" s="19">
        <f>SUM(D400:D403)</f>
        <v>18336</v>
      </c>
      <c r="E404" s="19">
        <f>SUM(E399:E403)</f>
        <v>19391</v>
      </c>
      <c r="F404" s="19">
        <f>SUM(F400:F403)</f>
        <v>76928</v>
      </c>
    </row>
    <row r="407" spans="1:6" ht="13" x14ac:dyDescent="0.3">
      <c r="A407" s="12" t="s">
        <v>172</v>
      </c>
      <c r="B407" s="13" t="str">
        <f>B398</f>
        <v>Q1 FY 15</v>
      </c>
      <c r="C407" s="13" t="str">
        <f>C398</f>
        <v>Q2 FY 15</v>
      </c>
      <c r="D407" s="13" t="str">
        <f>D398</f>
        <v>Q3 FY 15</v>
      </c>
      <c r="E407" s="13" t="str">
        <f>E398</f>
        <v>Q4 FY 15</v>
      </c>
      <c r="F407" s="13" t="str">
        <f>F398</f>
        <v>YTD</v>
      </c>
    </row>
    <row r="408" spans="1:6" x14ac:dyDescent="0.25">
      <c r="A408" s="15" t="s">
        <v>27</v>
      </c>
      <c r="B408" s="17">
        <v>3987</v>
      </c>
      <c r="C408" s="17">
        <v>4038</v>
      </c>
      <c r="D408" s="17">
        <v>4855</v>
      </c>
      <c r="E408" s="17">
        <v>6139</v>
      </c>
      <c r="F408" s="17">
        <f t="shared" ref="F408:F414" si="27">B408+C408+D408+E408</f>
        <v>19019</v>
      </c>
    </row>
    <row r="409" spans="1:6" x14ac:dyDescent="0.25">
      <c r="A409" s="15" t="s">
        <v>62</v>
      </c>
      <c r="B409" s="17">
        <v>16229</v>
      </c>
      <c r="C409" s="17">
        <v>14235</v>
      </c>
      <c r="D409" s="17">
        <v>10395</v>
      </c>
      <c r="E409" s="17">
        <v>3050</v>
      </c>
      <c r="F409" s="17">
        <f t="shared" si="27"/>
        <v>43909</v>
      </c>
    </row>
    <row r="410" spans="1:6" x14ac:dyDescent="0.25">
      <c r="A410" s="15" t="s">
        <v>63</v>
      </c>
      <c r="B410" s="17"/>
      <c r="C410" s="17"/>
      <c r="D410" s="17">
        <v>83</v>
      </c>
      <c r="E410" s="17">
        <v>7892</v>
      </c>
      <c r="F410" s="17">
        <f t="shared" si="27"/>
        <v>7975</v>
      </c>
    </row>
    <row r="411" spans="1:6" x14ac:dyDescent="0.25">
      <c r="A411" s="15" t="s">
        <v>30</v>
      </c>
      <c r="B411" s="17">
        <v>10329</v>
      </c>
      <c r="C411" s="17">
        <v>10717</v>
      </c>
      <c r="D411" s="17">
        <v>12738</v>
      </c>
      <c r="E411" s="17">
        <v>15705</v>
      </c>
      <c r="F411" s="17">
        <f t="shared" si="27"/>
        <v>49489</v>
      </c>
    </row>
    <row r="412" spans="1:6" x14ac:dyDescent="0.25">
      <c r="A412" s="15" t="s">
        <v>107</v>
      </c>
      <c r="B412" s="17">
        <v>20561</v>
      </c>
      <c r="C412" s="17">
        <v>19447</v>
      </c>
      <c r="D412" s="17">
        <v>19211</v>
      </c>
      <c r="E412" s="17">
        <v>24645</v>
      </c>
      <c r="F412" s="17">
        <f t="shared" si="27"/>
        <v>83864</v>
      </c>
    </row>
    <row r="413" spans="1:6" x14ac:dyDescent="0.25">
      <c r="A413" s="15" t="s">
        <v>64</v>
      </c>
      <c r="B413" s="17">
        <v>32220</v>
      </c>
      <c r="C413" s="17">
        <v>29224</v>
      </c>
      <c r="D413" s="17">
        <v>31465</v>
      </c>
      <c r="E413" s="17">
        <v>31055</v>
      </c>
      <c r="F413" s="17">
        <f t="shared" si="27"/>
        <v>123964</v>
      </c>
    </row>
    <row r="414" spans="1:6" x14ac:dyDescent="0.25">
      <c r="A414" s="15" t="s">
        <v>108</v>
      </c>
      <c r="B414" s="34">
        <v>12714</v>
      </c>
      <c r="C414" s="34">
        <v>13473</v>
      </c>
      <c r="D414" s="34">
        <v>14442</v>
      </c>
      <c r="E414" s="34">
        <v>16430</v>
      </c>
      <c r="F414" s="17">
        <f t="shared" si="27"/>
        <v>57059</v>
      </c>
    </row>
    <row r="415" spans="1:6" x14ac:dyDescent="0.25">
      <c r="A415" s="18" t="s">
        <v>65</v>
      </c>
      <c r="B415" s="19">
        <f>SUM(B408:B414)</f>
        <v>96040</v>
      </c>
      <c r="C415" s="19">
        <f>SUM(C408:C414)</f>
        <v>91134</v>
      </c>
      <c r="D415" s="19">
        <f>SUM(D408:D414)</f>
        <v>93189</v>
      </c>
      <c r="E415" s="19">
        <f>SUM(E408:E414)</f>
        <v>104916</v>
      </c>
      <c r="F415" s="19">
        <f>SUM(F408:F414)</f>
        <v>385279</v>
      </c>
    </row>
    <row r="417" spans="1:14" ht="13" x14ac:dyDescent="0.3">
      <c r="B417" s="13" t="str">
        <f>B407</f>
        <v>Q1 FY 15</v>
      </c>
      <c r="C417" s="13" t="str">
        <f>C407</f>
        <v>Q2 FY 15</v>
      </c>
      <c r="D417" s="13" t="str">
        <f>D407</f>
        <v>Q3 FY 15</v>
      </c>
      <c r="E417" s="13" t="str">
        <f>E407</f>
        <v>Q4 FY 15</v>
      </c>
      <c r="F417" s="13" t="str">
        <f>F407</f>
        <v>YTD</v>
      </c>
    </row>
    <row r="418" spans="1:14" x14ac:dyDescent="0.25">
      <c r="A418" s="12" t="s">
        <v>170</v>
      </c>
      <c r="B418" s="19">
        <f>B415+B404</f>
        <v>115596</v>
      </c>
      <c r="C418" s="19">
        <f>C415+C404</f>
        <v>110781</v>
      </c>
      <c r="D418" s="19">
        <f>D415+D404</f>
        <v>111525</v>
      </c>
      <c r="E418" s="19">
        <f>E415+E404</f>
        <v>124307</v>
      </c>
      <c r="F418" s="19">
        <f>F415+F404</f>
        <v>462207</v>
      </c>
    </row>
    <row r="420" spans="1:14" s="46" customFormat="1" ht="11.5" x14ac:dyDescent="0.25">
      <c r="A420" s="27"/>
      <c r="B420" s="27"/>
      <c r="C420" s="28"/>
      <c r="D420" s="28"/>
      <c r="E420" s="28"/>
      <c r="F420" s="28"/>
      <c r="H420" s="28"/>
      <c r="I420" s="28"/>
      <c r="J420" s="28"/>
      <c r="K420" s="28"/>
      <c r="L420" s="28"/>
      <c r="M420" s="28"/>
      <c r="N420" s="28"/>
    </row>
    <row r="423" spans="1:14" x14ac:dyDescent="0.25">
      <c r="A423" s="47" t="s">
        <v>165</v>
      </c>
      <c r="B423" s="21"/>
      <c r="C423" s="21"/>
      <c r="D423" s="21"/>
    </row>
    <row r="424" spans="1:14" x14ac:dyDescent="0.25">
      <c r="A424" s="25"/>
    </row>
    <row r="425" spans="1:14" ht="13" x14ac:dyDescent="0.3">
      <c r="A425" s="11" t="s">
        <v>125</v>
      </c>
    </row>
    <row r="426" spans="1:14" ht="13" x14ac:dyDescent="0.3">
      <c r="A426" s="29"/>
    </row>
    <row r="427" spans="1:14" ht="13" x14ac:dyDescent="0.3">
      <c r="A427" s="12" t="s">
        <v>169</v>
      </c>
      <c r="B427" s="13" t="s">
        <v>183</v>
      </c>
      <c r="C427" s="13" t="s">
        <v>184</v>
      </c>
      <c r="D427" s="13" t="s">
        <v>185</v>
      </c>
      <c r="E427" s="13" t="s">
        <v>186</v>
      </c>
      <c r="F427" s="13" t="s">
        <v>130</v>
      </c>
    </row>
    <row r="428" spans="1:14" x14ac:dyDescent="0.25">
      <c r="A428" s="15" t="s">
        <v>56</v>
      </c>
      <c r="B428" s="17">
        <v>10202</v>
      </c>
      <c r="C428" s="17">
        <v>11625</v>
      </c>
      <c r="D428" s="17">
        <v>11667</v>
      </c>
      <c r="E428" s="17">
        <v>15149</v>
      </c>
      <c r="F428" s="51">
        <f>SUM(B428:E428)</f>
        <v>48643</v>
      </c>
    </row>
    <row r="429" spans="1:14" x14ac:dyDescent="0.25">
      <c r="A429" s="15" t="s">
        <v>57</v>
      </c>
      <c r="B429" s="17">
        <v>4467</v>
      </c>
      <c r="C429" s="17">
        <v>5118</v>
      </c>
      <c r="D429" s="17">
        <v>4901</v>
      </c>
      <c r="E429" s="17">
        <v>5537</v>
      </c>
      <c r="F429" s="51">
        <f>SUM(B429:E429)</f>
        <v>20023</v>
      </c>
    </row>
    <row r="430" spans="1:14" x14ac:dyDescent="0.25">
      <c r="A430" s="15" t="s">
        <v>84</v>
      </c>
      <c r="B430" s="17">
        <v>829</v>
      </c>
      <c r="C430" s="17">
        <v>724</v>
      </c>
      <c r="D430" s="17">
        <v>693</v>
      </c>
      <c r="E430" s="17">
        <v>1044</v>
      </c>
      <c r="F430" s="51">
        <f>SUM(B430:E430)</f>
        <v>3290</v>
      </c>
    </row>
    <row r="431" spans="1:14" x14ac:dyDescent="0.25">
      <c r="A431" s="15" t="s">
        <v>60</v>
      </c>
      <c r="B431" s="33">
        <v>1961</v>
      </c>
      <c r="C431" s="33">
        <v>2557</v>
      </c>
      <c r="D431" s="33">
        <v>1747</v>
      </c>
      <c r="E431" s="33">
        <v>2301</v>
      </c>
      <c r="F431" s="51">
        <f>SUM(B431:E431)</f>
        <v>8566</v>
      </c>
    </row>
    <row r="432" spans="1:14" x14ac:dyDescent="0.25">
      <c r="A432" s="18" t="s">
        <v>41</v>
      </c>
      <c r="B432" s="19">
        <f>SUM(B428:B431)</f>
        <v>17459</v>
      </c>
      <c r="C432" s="19">
        <f>SUM(C428:C431)</f>
        <v>20024</v>
      </c>
      <c r="D432" s="19">
        <f>SUM(D428:D431)</f>
        <v>19008</v>
      </c>
      <c r="E432" s="19">
        <f>SUM(E428:E431)</f>
        <v>24031</v>
      </c>
      <c r="F432" s="19">
        <f>SUM(F428:F431)</f>
        <v>80522</v>
      </c>
    </row>
    <row r="435" spans="1:6" ht="13" x14ac:dyDescent="0.3">
      <c r="A435" s="12" t="s">
        <v>172</v>
      </c>
      <c r="B435" s="13" t="str">
        <f>B427</f>
        <v>Q1 FY 14</v>
      </c>
      <c r="C435" s="13" t="str">
        <f>C427</f>
        <v>Q2 FY 14</v>
      </c>
      <c r="D435" s="13" t="str">
        <f>D427</f>
        <v>Q3 FY 14</v>
      </c>
      <c r="E435" s="13" t="str">
        <f>E427</f>
        <v>Q4 FY 14</v>
      </c>
      <c r="F435" s="13" t="str">
        <f>F427</f>
        <v>FY 14</v>
      </c>
    </row>
    <row r="436" spans="1:6" x14ac:dyDescent="0.25">
      <c r="A436" s="15" t="s">
        <v>27</v>
      </c>
      <c r="B436" s="17">
        <v>3668</v>
      </c>
      <c r="C436" s="17">
        <v>3910</v>
      </c>
      <c r="D436" s="17">
        <v>4658</v>
      </c>
      <c r="E436" s="17">
        <v>4901</v>
      </c>
      <c r="F436" s="51">
        <f t="shared" ref="F436:F443" si="28">SUM(B436:E436)</f>
        <v>17137</v>
      </c>
    </row>
    <row r="437" spans="1:6" x14ac:dyDescent="0.25">
      <c r="A437" s="15" t="s">
        <v>62</v>
      </c>
      <c r="B437" s="17">
        <v>13044</v>
      </c>
      <c r="C437" s="17">
        <v>14222</v>
      </c>
      <c r="D437" s="17">
        <v>13119</v>
      </c>
      <c r="E437" s="17">
        <v>15763</v>
      </c>
      <c r="F437" s="51">
        <f t="shared" si="28"/>
        <v>56148</v>
      </c>
    </row>
    <row r="438" spans="1:6" x14ac:dyDescent="0.25">
      <c r="A438" s="15" t="s">
        <v>30</v>
      </c>
      <c r="B438" s="17">
        <v>11157</v>
      </c>
      <c r="C438" s="17">
        <v>12273</v>
      </c>
      <c r="D438" s="17">
        <v>10328</v>
      </c>
      <c r="E438" s="17">
        <v>11296</v>
      </c>
      <c r="F438" s="51">
        <f t="shared" si="28"/>
        <v>45054</v>
      </c>
    </row>
    <row r="439" spans="1:6" x14ac:dyDescent="0.25">
      <c r="A439" s="15" t="s">
        <v>107</v>
      </c>
      <c r="B439" s="17">
        <v>128</v>
      </c>
      <c r="C439" s="17">
        <v>7837</v>
      </c>
      <c r="D439" s="17">
        <v>19855</v>
      </c>
      <c r="E439" s="17">
        <v>23133</v>
      </c>
      <c r="F439" s="51">
        <f t="shared" si="28"/>
        <v>50953</v>
      </c>
    </row>
    <row r="440" spans="1:6" x14ac:dyDescent="0.25">
      <c r="A440" s="15" t="s">
        <v>22</v>
      </c>
      <c r="B440" s="17">
        <v>11222</v>
      </c>
      <c r="C440" s="17">
        <v>3866</v>
      </c>
      <c r="D440" s="17">
        <v>406</v>
      </c>
      <c r="E440" s="17">
        <v>88</v>
      </c>
      <c r="F440" s="51">
        <f t="shared" si="28"/>
        <v>15582</v>
      </c>
    </row>
    <row r="441" spans="1:6" x14ac:dyDescent="0.25">
      <c r="A441" s="15" t="s">
        <v>21</v>
      </c>
      <c r="B441" s="17">
        <v>102</v>
      </c>
      <c r="C441" s="17">
        <v>24</v>
      </c>
      <c r="D441" s="17">
        <v>16</v>
      </c>
      <c r="E441" s="17">
        <v>3</v>
      </c>
      <c r="F441" s="51">
        <f t="shared" si="28"/>
        <v>145</v>
      </c>
    </row>
    <row r="442" spans="1:6" x14ac:dyDescent="0.25">
      <c r="A442" s="15" t="s">
        <v>64</v>
      </c>
      <c r="B442" s="17">
        <v>26974</v>
      </c>
      <c r="C442" s="17">
        <v>30802</v>
      </c>
      <c r="D442" s="17">
        <v>32527</v>
      </c>
      <c r="E442" s="17">
        <v>32455</v>
      </c>
      <c r="F442" s="51">
        <f t="shared" si="28"/>
        <v>122758</v>
      </c>
    </row>
    <row r="443" spans="1:6" x14ac:dyDescent="0.25">
      <c r="A443" s="15" t="s">
        <v>108</v>
      </c>
      <c r="B443" s="34">
        <v>10965</v>
      </c>
      <c r="C443" s="34">
        <v>9686</v>
      </c>
      <c r="D443" s="34">
        <v>12255</v>
      </c>
      <c r="E443" s="34">
        <v>13106</v>
      </c>
      <c r="F443" s="51">
        <f t="shared" si="28"/>
        <v>46012</v>
      </c>
    </row>
    <row r="444" spans="1:6" x14ac:dyDescent="0.25">
      <c r="A444" s="18" t="s">
        <v>65</v>
      </c>
      <c r="B444" s="19">
        <f>SUM(B436:B443)</f>
        <v>77260</v>
      </c>
      <c r="C444" s="19">
        <f>SUM(C436:C443)</f>
        <v>82620</v>
      </c>
      <c r="D444" s="19">
        <f>SUM(D436:D443)</f>
        <v>93164</v>
      </c>
      <c r="E444" s="19">
        <f>SUM(E436:E443)</f>
        <v>100745</v>
      </c>
      <c r="F444" s="19">
        <f>SUM(F436:F443)</f>
        <v>353789</v>
      </c>
    </row>
    <row r="446" spans="1:6" ht="13" x14ac:dyDescent="0.3">
      <c r="B446" s="13" t="str">
        <f>B435</f>
        <v>Q1 FY 14</v>
      </c>
      <c r="C446" s="13" t="str">
        <f>C435</f>
        <v>Q2 FY 14</v>
      </c>
      <c r="D446" s="13" t="str">
        <f>D435</f>
        <v>Q3 FY 14</v>
      </c>
      <c r="E446" s="13" t="str">
        <f>E435</f>
        <v>Q4 FY 14</v>
      </c>
      <c r="F446" s="13" t="str">
        <f>F435</f>
        <v>FY 14</v>
      </c>
    </row>
    <row r="447" spans="1:6" x14ac:dyDescent="0.25">
      <c r="A447" s="12" t="s">
        <v>170</v>
      </c>
      <c r="B447" s="19">
        <f>B444+B432</f>
        <v>94719</v>
      </c>
      <c r="C447" s="19">
        <f>C444+C432</f>
        <v>102644</v>
      </c>
      <c r="D447" s="19">
        <f>D444+D432</f>
        <v>112172</v>
      </c>
      <c r="E447" s="19">
        <f>E444+E432</f>
        <v>124776</v>
      </c>
      <c r="F447" s="19">
        <f>F444+F432</f>
        <v>434311</v>
      </c>
    </row>
    <row r="449" spans="1:14" s="46" customFormat="1" ht="11.5" x14ac:dyDescent="0.25">
      <c r="A449" s="27"/>
      <c r="B449" s="27"/>
      <c r="C449" s="28"/>
      <c r="D449" s="28"/>
      <c r="E449" s="28"/>
      <c r="F449" s="28"/>
      <c r="H449" s="28"/>
      <c r="I449" s="28"/>
      <c r="J449" s="28"/>
      <c r="K449" s="28"/>
      <c r="L449" s="28"/>
      <c r="M449" s="28"/>
      <c r="N449" s="28"/>
    </row>
    <row r="451" spans="1:14" x14ac:dyDescent="0.25">
      <c r="A451" s="47" t="s">
        <v>165</v>
      </c>
      <c r="B451" s="21"/>
      <c r="C451" s="21"/>
      <c r="D451" s="21"/>
    </row>
    <row r="452" spans="1:14" x14ac:dyDescent="0.25">
      <c r="A452" s="25"/>
    </row>
    <row r="453" spans="1:14" ht="13" x14ac:dyDescent="0.3">
      <c r="A453" s="11" t="s">
        <v>131</v>
      </c>
    </row>
    <row r="454" spans="1:14" ht="13" x14ac:dyDescent="0.3">
      <c r="A454" s="29"/>
    </row>
    <row r="455" spans="1:14" ht="13" x14ac:dyDescent="0.3">
      <c r="A455" s="12" t="s">
        <v>169</v>
      </c>
      <c r="B455" s="13" t="s">
        <v>132</v>
      </c>
      <c r="C455" s="13" t="s">
        <v>133</v>
      </c>
      <c r="D455" s="13" t="s">
        <v>134</v>
      </c>
      <c r="E455" s="13" t="s">
        <v>135</v>
      </c>
      <c r="F455" s="30" t="s">
        <v>136</v>
      </c>
    </row>
    <row r="456" spans="1:14" x14ac:dyDescent="0.25">
      <c r="A456" s="15" t="s">
        <v>56</v>
      </c>
      <c r="B456" s="17">
        <v>8236</v>
      </c>
      <c r="C456" s="33">
        <v>8352</v>
      </c>
      <c r="D456" s="33">
        <v>8118</v>
      </c>
      <c r="E456" s="33">
        <v>13897</v>
      </c>
      <c r="F456" s="51">
        <f>SUM(B456:E456)</f>
        <v>38603</v>
      </c>
    </row>
    <row r="457" spans="1:14" x14ac:dyDescent="0.25">
      <c r="A457" s="15" t="s">
        <v>57</v>
      </c>
      <c r="B457" s="17">
        <v>4462</v>
      </c>
      <c r="C457" s="33">
        <v>3382</v>
      </c>
      <c r="D457" s="33">
        <v>2965</v>
      </c>
      <c r="E457" s="33">
        <v>5191</v>
      </c>
      <c r="F457" s="51">
        <f>SUM(B457:E457)</f>
        <v>16000</v>
      </c>
    </row>
    <row r="458" spans="1:14" x14ac:dyDescent="0.25">
      <c r="A458" s="15" t="s">
        <v>84</v>
      </c>
      <c r="B458" s="17">
        <v>940</v>
      </c>
      <c r="C458" s="33">
        <v>1064</v>
      </c>
      <c r="D458" s="33">
        <v>897</v>
      </c>
      <c r="E458" s="33">
        <v>977</v>
      </c>
      <c r="F458" s="51">
        <f>SUM(B458:E458)</f>
        <v>3878</v>
      </c>
    </row>
    <row r="459" spans="1:14" x14ac:dyDescent="0.25">
      <c r="A459" s="15" t="s">
        <v>60</v>
      </c>
      <c r="B459" s="33">
        <v>0</v>
      </c>
      <c r="C459" s="33">
        <v>0</v>
      </c>
      <c r="D459" s="33">
        <v>0</v>
      </c>
      <c r="E459" s="33">
        <v>112</v>
      </c>
      <c r="F459" s="51">
        <f>SUM(B459:E459)</f>
        <v>112</v>
      </c>
    </row>
    <row r="460" spans="1:14" x14ac:dyDescent="0.25">
      <c r="A460" s="18" t="s">
        <v>41</v>
      </c>
      <c r="B460" s="19">
        <f>SUM(B456:B459)</f>
        <v>13638</v>
      </c>
      <c r="C460" s="19">
        <f>SUM(C456:C459)</f>
        <v>12798</v>
      </c>
      <c r="D460" s="19">
        <f>SUM(D456:D459)</f>
        <v>11980</v>
      </c>
      <c r="E460" s="19">
        <f>SUM(E456:E459)</f>
        <v>20177</v>
      </c>
      <c r="F460" s="19">
        <f>SUM(F456:F459)</f>
        <v>58593</v>
      </c>
    </row>
    <row r="463" spans="1:14" ht="13" x14ac:dyDescent="0.3">
      <c r="A463" s="12" t="s">
        <v>172</v>
      </c>
      <c r="B463" s="13" t="s">
        <v>132</v>
      </c>
      <c r="C463" s="13" t="s">
        <v>133</v>
      </c>
      <c r="D463" s="13" t="s">
        <v>134</v>
      </c>
      <c r="E463" s="13" t="str">
        <f>E455</f>
        <v>Q4 FY 13</v>
      </c>
      <c r="F463" s="30" t="str">
        <f>F455</f>
        <v>FY 13</v>
      </c>
    </row>
    <row r="464" spans="1:14" x14ac:dyDescent="0.25">
      <c r="A464" s="15" t="s">
        <v>27</v>
      </c>
      <c r="B464" s="17">
        <v>3429</v>
      </c>
      <c r="C464" s="33">
        <v>3813</v>
      </c>
      <c r="D464" s="33">
        <v>4047</v>
      </c>
      <c r="E464" s="33">
        <v>4910</v>
      </c>
      <c r="F464" s="51">
        <f t="shared" ref="F464:F470" si="29">SUM(B464:E464)</f>
        <v>16199</v>
      </c>
    </row>
    <row r="465" spans="1:14" x14ac:dyDescent="0.25">
      <c r="A465" s="15" t="s">
        <v>62</v>
      </c>
      <c r="B465" s="17">
        <v>11741</v>
      </c>
      <c r="C465" s="33">
        <v>12368</v>
      </c>
      <c r="D465" s="33">
        <v>12245</v>
      </c>
      <c r="E465" s="33">
        <v>17306</v>
      </c>
      <c r="F465" s="51">
        <f t="shared" si="29"/>
        <v>53660</v>
      </c>
    </row>
    <row r="466" spans="1:14" x14ac:dyDescent="0.25">
      <c r="A466" s="15" t="s">
        <v>30</v>
      </c>
      <c r="B466" s="17">
        <v>10666</v>
      </c>
      <c r="C466" s="33">
        <v>10864</v>
      </c>
      <c r="D466" s="33">
        <v>11456</v>
      </c>
      <c r="E466" s="33">
        <v>12140</v>
      </c>
      <c r="F466" s="51">
        <f t="shared" si="29"/>
        <v>45126</v>
      </c>
    </row>
    <row r="467" spans="1:14" x14ac:dyDescent="0.25">
      <c r="A467" s="15" t="s">
        <v>22</v>
      </c>
      <c r="B467" s="17">
        <v>12658</v>
      </c>
      <c r="C467" s="33">
        <v>14026</v>
      </c>
      <c r="D467" s="33">
        <v>14958</v>
      </c>
      <c r="E467" s="33">
        <v>14920</v>
      </c>
      <c r="F467" s="51">
        <f t="shared" si="29"/>
        <v>56562</v>
      </c>
    </row>
    <row r="468" spans="1:14" x14ac:dyDescent="0.25">
      <c r="A468" s="15" t="s">
        <v>21</v>
      </c>
      <c r="B468" s="17">
        <v>6680</v>
      </c>
      <c r="C468" s="33">
        <v>6325</v>
      </c>
      <c r="D468" s="33">
        <v>4268</v>
      </c>
      <c r="E468" s="33">
        <v>668</v>
      </c>
      <c r="F468" s="51">
        <f t="shared" si="29"/>
        <v>17941</v>
      </c>
    </row>
    <row r="469" spans="1:14" x14ac:dyDescent="0.25">
      <c r="A469" s="15" t="s">
        <v>64</v>
      </c>
      <c r="B469" s="17">
        <v>26946</v>
      </c>
      <c r="C469" s="33">
        <v>24442</v>
      </c>
      <c r="D469" s="33">
        <v>28039</v>
      </c>
      <c r="E469" s="33">
        <v>33989</v>
      </c>
      <c r="F469" s="51">
        <f t="shared" si="29"/>
        <v>113416</v>
      </c>
    </row>
    <row r="470" spans="1:14" x14ac:dyDescent="0.25">
      <c r="A470" s="15" t="s">
        <v>108</v>
      </c>
      <c r="B470" s="34">
        <v>0</v>
      </c>
      <c r="C470" s="33">
        <v>113</v>
      </c>
      <c r="D470" s="33">
        <v>1665</v>
      </c>
      <c r="E470" s="33">
        <v>11361</v>
      </c>
      <c r="F470" s="51">
        <f t="shared" si="29"/>
        <v>13139</v>
      </c>
    </row>
    <row r="471" spans="1:14" x14ac:dyDescent="0.25">
      <c r="A471" s="18" t="s">
        <v>65</v>
      </c>
      <c r="B471" s="19">
        <f>SUM(B464:B470)</f>
        <v>72120</v>
      </c>
      <c r="C471" s="19">
        <f>SUM(C464:C470)</f>
        <v>71951</v>
      </c>
      <c r="D471" s="19">
        <f>SUM(D464:D470)</f>
        <v>76678</v>
      </c>
      <c r="E471" s="19">
        <f>SUM(E464:E470)</f>
        <v>95294</v>
      </c>
      <c r="F471" s="19">
        <f>SUM(F464:F470)</f>
        <v>316043</v>
      </c>
    </row>
    <row r="473" spans="1:14" ht="13" x14ac:dyDescent="0.3">
      <c r="B473" s="13" t="s">
        <v>132</v>
      </c>
      <c r="C473" s="13" t="s">
        <v>133</v>
      </c>
      <c r="D473" s="13" t="s">
        <v>134</v>
      </c>
      <c r="E473" s="13" t="str">
        <f>E463</f>
        <v>Q4 FY 13</v>
      </c>
      <c r="F473" s="30" t="str">
        <f>F463</f>
        <v>FY 13</v>
      </c>
    </row>
    <row r="474" spans="1:14" x14ac:dyDescent="0.25">
      <c r="A474" s="12" t="s">
        <v>170</v>
      </c>
      <c r="B474" s="19">
        <f>B471+B460</f>
        <v>85758</v>
      </c>
      <c r="C474" s="19">
        <f>C471+C460</f>
        <v>84749</v>
      </c>
      <c r="D474" s="19">
        <f>D471+D460</f>
        <v>88658</v>
      </c>
      <c r="E474" s="19">
        <f>E471+E460</f>
        <v>115471</v>
      </c>
      <c r="F474" s="19">
        <f>F471+F460</f>
        <v>374636</v>
      </c>
    </row>
    <row r="475" spans="1:14" x14ac:dyDescent="0.25">
      <c r="A475" s="25"/>
    </row>
    <row r="476" spans="1:14" s="46" customFormat="1" ht="11.5" x14ac:dyDescent="0.25">
      <c r="A476" s="27"/>
      <c r="B476" s="27"/>
      <c r="C476" s="28"/>
      <c r="D476" s="28"/>
      <c r="E476" s="28"/>
      <c r="F476" s="28"/>
      <c r="H476" s="28"/>
      <c r="I476" s="28"/>
      <c r="J476" s="28"/>
      <c r="K476" s="28"/>
      <c r="L476" s="28"/>
      <c r="M476" s="28"/>
      <c r="N476" s="28"/>
    </row>
    <row r="477" spans="1:14" x14ac:dyDescent="0.25">
      <c r="A477" s="25"/>
    </row>
    <row r="478" spans="1:14" x14ac:dyDescent="0.25">
      <c r="A478" s="25"/>
    </row>
    <row r="479" spans="1:14" ht="13" x14ac:dyDescent="0.3">
      <c r="A479" s="11" t="s">
        <v>138</v>
      </c>
    </row>
    <row r="480" spans="1:14" ht="13" x14ac:dyDescent="0.3">
      <c r="A480" s="29"/>
    </row>
    <row r="481" spans="1:16" ht="13" x14ac:dyDescent="0.3">
      <c r="A481" s="12" t="s">
        <v>169</v>
      </c>
      <c r="B481" s="13" t="s">
        <v>139</v>
      </c>
      <c r="C481" s="13" t="s">
        <v>140</v>
      </c>
      <c r="D481" s="13" t="s">
        <v>141</v>
      </c>
      <c r="E481" s="13" t="s">
        <v>142</v>
      </c>
      <c r="F481" s="30" t="s">
        <v>143</v>
      </c>
    </row>
    <row r="482" spans="1:16" x14ac:dyDescent="0.25">
      <c r="A482" s="15" t="s">
        <v>56</v>
      </c>
      <c r="B482" s="17">
        <v>6732</v>
      </c>
      <c r="C482" s="17">
        <v>8350</v>
      </c>
      <c r="D482" s="17">
        <v>8397</v>
      </c>
      <c r="E482" s="17">
        <v>9987</v>
      </c>
      <c r="F482" s="51">
        <f>SUM(B482:E482)</f>
        <v>33466</v>
      </c>
      <c r="H482" s="31"/>
    </row>
    <row r="483" spans="1:16" x14ac:dyDescent="0.25">
      <c r="A483" s="15" t="s">
        <v>57</v>
      </c>
      <c r="B483" s="17">
        <v>4367</v>
      </c>
      <c r="C483" s="17">
        <v>3636</v>
      </c>
      <c r="D483" s="17">
        <v>3606</v>
      </c>
      <c r="E483" s="17">
        <v>4179</v>
      </c>
      <c r="F483" s="51">
        <f>SUM(B483:E483)</f>
        <v>15788</v>
      </c>
      <c r="H483" s="31"/>
    </row>
    <row r="484" spans="1:16" x14ac:dyDescent="0.25">
      <c r="A484" s="15" t="s">
        <v>84</v>
      </c>
      <c r="B484" s="17">
        <v>1454</v>
      </c>
      <c r="C484" s="17">
        <v>1247</v>
      </c>
      <c r="D484" s="17">
        <v>1003</v>
      </c>
      <c r="E484" s="17">
        <v>1265</v>
      </c>
      <c r="F484" s="51">
        <f>SUM(B484:E484)</f>
        <v>4969</v>
      </c>
      <c r="H484" s="31"/>
    </row>
    <row r="485" spans="1:16" s="52" customFormat="1" ht="13" x14ac:dyDescent="0.3">
      <c r="A485" s="15" t="s">
        <v>85</v>
      </c>
      <c r="B485" s="17">
        <v>4</v>
      </c>
      <c r="C485" s="34">
        <v>0</v>
      </c>
      <c r="D485" s="34">
        <v>0</v>
      </c>
      <c r="E485" s="34">
        <v>0</v>
      </c>
      <c r="F485" s="51">
        <f>SUM(B485:E485)</f>
        <v>4</v>
      </c>
      <c r="H485" s="31"/>
      <c r="L485" s="103"/>
      <c r="M485" s="103"/>
      <c r="N485" s="103"/>
      <c r="O485" s="103"/>
      <c r="P485" s="103"/>
    </row>
    <row r="486" spans="1:16" x14ac:dyDescent="0.25">
      <c r="A486" s="18" t="s">
        <v>41</v>
      </c>
      <c r="B486" s="19">
        <f>SUM(B482:B485)</f>
        <v>12557</v>
      </c>
      <c r="C486" s="19">
        <f>SUM(C482:C485)</f>
        <v>13233</v>
      </c>
      <c r="D486" s="19">
        <f>SUM(D482:D485)</f>
        <v>13006</v>
      </c>
      <c r="E486" s="19">
        <f>SUM(E482:E485)</f>
        <v>15431</v>
      </c>
      <c r="F486" s="19">
        <f>SUM(F482:F485)</f>
        <v>54227</v>
      </c>
      <c r="H486" s="31"/>
      <c r="I486" s="65"/>
      <c r="J486" s="65"/>
      <c r="L486" s="65"/>
      <c r="M486" s="65"/>
      <c r="N486" s="65"/>
      <c r="O486" s="65"/>
      <c r="P486" s="65"/>
    </row>
    <row r="488" spans="1:16" ht="13" x14ac:dyDescent="0.3">
      <c r="A488" s="12" t="s">
        <v>172</v>
      </c>
      <c r="B488" s="13" t="s">
        <v>139</v>
      </c>
      <c r="C488" s="13" t="s">
        <v>140</v>
      </c>
      <c r="D488" s="13" t="s">
        <v>141</v>
      </c>
      <c r="E488" s="13" t="s">
        <v>142</v>
      </c>
      <c r="F488" s="30" t="s">
        <v>143</v>
      </c>
      <c r="H488" s="103"/>
      <c r="I488" s="103"/>
      <c r="J488" s="103"/>
      <c r="K488" s="52"/>
      <c r="L488" s="103"/>
      <c r="M488" s="103"/>
      <c r="N488" s="103"/>
      <c r="O488" s="103"/>
      <c r="P488" s="103"/>
    </row>
    <row r="489" spans="1:16" x14ac:dyDescent="0.25">
      <c r="A489" s="15" t="s">
        <v>27</v>
      </c>
      <c r="B489" s="17">
        <v>4812</v>
      </c>
      <c r="C489" s="17">
        <v>5114</v>
      </c>
      <c r="D489" s="17">
        <v>4683</v>
      </c>
      <c r="E489" s="17">
        <v>5127</v>
      </c>
      <c r="F489" s="51">
        <f t="shared" ref="F489:F494" si="30">SUM(B489:E489)</f>
        <v>19736</v>
      </c>
      <c r="H489" s="31"/>
      <c r="I489" s="65"/>
      <c r="J489" s="65"/>
      <c r="L489" s="65"/>
      <c r="M489" s="65"/>
      <c r="N489" s="65"/>
      <c r="O489" s="65"/>
      <c r="P489" s="65"/>
    </row>
    <row r="490" spans="1:16" x14ac:dyDescent="0.25">
      <c r="A490" s="15" t="s">
        <v>62</v>
      </c>
      <c r="B490" s="17">
        <v>12985</v>
      </c>
      <c r="C490" s="17">
        <v>13038</v>
      </c>
      <c r="D490" s="17">
        <v>8888</v>
      </c>
      <c r="E490" s="17">
        <v>11978</v>
      </c>
      <c r="F490" s="51">
        <f t="shared" si="30"/>
        <v>46889</v>
      </c>
      <c r="H490" s="31"/>
    </row>
    <row r="491" spans="1:16" x14ac:dyDescent="0.25">
      <c r="A491" s="15" t="s">
        <v>30</v>
      </c>
      <c r="B491" s="17">
        <v>11514</v>
      </c>
      <c r="C491" s="17">
        <v>10982</v>
      </c>
      <c r="D491" s="17">
        <v>10554</v>
      </c>
      <c r="E491" s="17">
        <v>13266</v>
      </c>
      <c r="F491" s="51">
        <f t="shared" si="30"/>
        <v>46316</v>
      </c>
      <c r="H491" s="31"/>
    </row>
    <row r="492" spans="1:16" x14ac:dyDescent="0.25">
      <c r="A492" s="15" t="s">
        <v>22</v>
      </c>
      <c r="B492" s="17">
        <v>13854</v>
      </c>
      <c r="C492" s="17">
        <v>13210</v>
      </c>
      <c r="D492" s="17">
        <v>14090</v>
      </c>
      <c r="E492" s="17">
        <v>15190</v>
      </c>
      <c r="F492" s="51">
        <f t="shared" si="30"/>
        <v>56344</v>
      </c>
      <c r="H492" s="31"/>
    </row>
    <row r="493" spans="1:16" x14ac:dyDescent="0.25">
      <c r="A493" s="15" t="s">
        <v>21</v>
      </c>
      <c r="B493" s="17">
        <v>7554</v>
      </c>
      <c r="C493" s="17">
        <v>7009</v>
      </c>
      <c r="D493" s="17">
        <v>7458</v>
      </c>
      <c r="E493" s="17">
        <v>8445</v>
      </c>
      <c r="F493" s="51">
        <f t="shared" si="30"/>
        <v>30466</v>
      </c>
      <c r="H493" s="31"/>
    </row>
    <row r="494" spans="1:16" x14ac:dyDescent="0.25">
      <c r="A494" s="15" t="s">
        <v>64</v>
      </c>
      <c r="B494" s="34">
        <v>0</v>
      </c>
      <c r="C494" s="17">
        <v>3096</v>
      </c>
      <c r="D494" s="17">
        <v>19614</v>
      </c>
      <c r="E494" s="17">
        <v>29171</v>
      </c>
      <c r="F494" s="51">
        <f t="shared" si="30"/>
        <v>51881</v>
      </c>
      <c r="H494" s="31"/>
    </row>
    <row r="495" spans="1:16" x14ac:dyDescent="0.25">
      <c r="A495" s="18" t="s">
        <v>65</v>
      </c>
      <c r="B495" s="19">
        <f>SUM(B489:B494)</f>
        <v>50719</v>
      </c>
      <c r="C495" s="19">
        <f>SUM(C489:C494)</f>
        <v>52449</v>
      </c>
      <c r="D495" s="19">
        <f>SUM(D489:D494)</f>
        <v>65287</v>
      </c>
      <c r="E495" s="19">
        <f>SUM(E489:E494)</f>
        <v>83177</v>
      </c>
      <c r="F495" s="19">
        <f>SUM(F489:F494)</f>
        <v>251632</v>
      </c>
      <c r="H495" s="31"/>
    </row>
    <row r="497" spans="1:16" ht="13" x14ac:dyDescent="0.3">
      <c r="B497" s="13" t="s">
        <v>139</v>
      </c>
      <c r="C497" s="13" t="s">
        <v>140</v>
      </c>
      <c r="D497" s="13" t="s">
        <v>141</v>
      </c>
      <c r="E497" s="13" t="s">
        <v>142</v>
      </c>
      <c r="F497" s="30" t="s">
        <v>143</v>
      </c>
    </row>
    <row r="498" spans="1:16" x14ac:dyDescent="0.25">
      <c r="A498" s="12" t="s">
        <v>170</v>
      </c>
      <c r="B498" s="19">
        <f>SUM(B495,B486)</f>
        <v>63276</v>
      </c>
      <c r="C498" s="19">
        <f>SUM(C495,C486)</f>
        <v>65682</v>
      </c>
      <c r="D498" s="19">
        <f>SUM(D495,D486)</f>
        <v>78293</v>
      </c>
      <c r="E498" s="19">
        <f>SUM(E495,E486)</f>
        <v>98608</v>
      </c>
      <c r="F498" s="19">
        <f>SUM(F495,F486)</f>
        <v>305859</v>
      </c>
    </row>
    <row r="500" spans="1:16" s="46" customFormat="1" ht="11.5" x14ac:dyDescent="0.25">
      <c r="A500" s="27"/>
      <c r="B500" s="27"/>
      <c r="C500" s="28"/>
      <c r="D500" s="28"/>
      <c r="E500" s="28"/>
      <c r="F500" s="28"/>
      <c r="H500" s="28"/>
      <c r="I500" s="28"/>
      <c r="J500" s="28"/>
      <c r="K500" s="28"/>
      <c r="L500" s="28"/>
      <c r="M500" s="28"/>
      <c r="N500" s="28"/>
    </row>
    <row r="501" spans="1:16" x14ac:dyDescent="0.25">
      <c r="A501" s="25"/>
    </row>
    <row r="502" spans="1:16" x14ac:dyDescent="0.25">
      <c r="A502" s="25"/>
    </row>
    <row r="503" spans="1:16" ht="13" x14ac:dyDescent="0.3">
      <c r="A503" s="11" t="s">
        <v>144</v>
      </c>
    </row>
    <row r="504" spans="1:16" ht="13" x14ac:dyDescent="0.3">
      <c r="A504" s="29"/>
    </row>
    <row r="505" spans="1:16" ht="13" x14ac:dyDescent="0.3">
      <c r="A505" s="12" t="s">
        <v>169</v>
      </c>
      <c r="B505" s="13" t="s">
        <v>145</v>
      </c>
      <c r="C505" s="13" t="s">
        <v>146</v>
      </c>
      <c r="D505" s="13" t="s">
        <v>147</v>
      </c>
      <c r="E505" s="13" t="s">
        <v>148</v>
      </c>
      <c r="F505" s="30" t="s">
        <v>149</v>
      </c>
    </row>
    <row r="506" spans="1:16" x14ac:dyDescent="0.25">
      <c r="A506" s="15" t="s">
        <v>56</v>
      </c>
      <c r="B506" s="33">
        <v>9628</v>
      </c>
      <c r="C506" s="33">
        <v>8621</v>
      </c>
      <c r="D506" s="33">
        <v>7249</v>
      </c>
      <c r="E506" s="33">
        <v>7167</v>
      </c>
      <c r="F506" s="51">
        <f>SUM(B506:E506)</f>
        <v>32665</v>
      </c>
    </row>
    <row r="507" spans="1:16" x14ac:dyDescent="0.25">
      <c r="A507" s="15" t="s">
        <v>150</v>
      </c>
      <c r="B507" s="33">
        <v>79</v>
      </c>
      <c r="C507" s="33">
        <v>25</v>
      </c>
      <c r="D507" s="33">
        <v>12</v>
      </c>
      <c r="E507" s="33">
        <v>3</v>
      </c>
      <c r="F507" s="51">
        <f>SUM(B507:E507)</f>
        <v>119</v>
      </c>
    </row>
    <row r="508" spans="1:16" x14ac:dyDescent="0.25">
      <c r="A508" s="15" t="s">
        <v>151</v>
      </c>
      <c r="B508" s="33">
        <v>2377</v>
      </c>
      <c r="C508" s="33">
        <v>3916</v>
      </c>
      <c r="D508" s="33">
        <v>3632</v>
      </c>
      <c r="E508" s="33">
        <v>3516</v>
      </c>
      <c r="F508" s="51">
        <f>SUM(B508:E508)</f>
        <v>13441</v>
      </c>
    </row>
    <row r="509" spans="1:16" s="52" customFormat="1" ht="13" x14ac:dyDescent="0.3">
      <c r="A509" s="15" t="s">
        <v>84</v>
      </c>
      <c r="B509" s="33">
        <v>1552</v>
      </c>
      <c r="C509" s="33">
        <v>1507</v>
      </c>
      <c r="D509" s="33">
        <v>990</v>
      </c>
      <c r="E509" s="33">
        <v>1190</v>
      </c>
      <c r="F509" s="51">
        <f>SUM(B509:E509)</f>
        <v>5239</v>
      </c>
      <c r="H509" s="103"/>
      <c r="I509" s="103"/>
      <c r="J509" s="103"/>
      <c r="L509" s="103"/>
      <c r="M509" s="103"/>
      <c r="N509" s="103"/>
      <c r="O509" s="103"/>
      <c r="P509" s="103"/>
    </row>
    <row r="510" spans="1:16" x14ac:dyDescent="0.25">
      <c r="A510" s="15" t="s">
        <v>85</v>
      </c>
      <c r="B510" s="33">
        <v>258</v>
      </c>
      <c r="C510" s="33">
        <v>49</v>
      </c>
      <c r="D510" s="33">
        <v>41</v>
      </c>
      <c r="E510" s="33">
        <v>6</v>
      </c>
      <c r="F510" s="51">
        <f>SUM(B510:E510)</f>
        <v>354</v>
      </c>
    </row>
    <row r="511" spans="1:16" x14ac:dyDescent="0.25">
      <c r="A511" s="18" t="s">
        <v>41</v>
      </c>
      <c r="B511" s="19">
        <f>SUM(B506:B510)</f>
        <v>13894</v>
      </c>
      <c r="C511" s="19">
        <f>SUM(C506:C510)</f>
        <v>14118</v>
      </c>
      <c r="D511" s="19">
        <f>SUM(D506:D510)</f>
        <v>11924</v>
      </c>
      <c r="E511" s="19">
        <f>SUM(E506:E510)</f>
        <v>11882</v>
      </c>
      <c r="F511" s="19">
        <f>SUM(F506:F510)</f>
        <v>51818</v>
      </c>
      <c r="H511" s="65"/>
      <c r="I511" s="65"/>
      <c r="J511" s="65"/>
      <c r="L511" s="65"/>
      <c r="M511" s="65"/>
      <c r="N511" s="65"/>
      <c r="O511" s="65"/>
      <c r="P511" s="65"/>
    </row>
    <row r="513" spans="1:16" ht="13" x14ac:dyDescent="0.3">
      <c r="A513" s="12" t="s">
        <v>172</v>
      </c>
      <c r="B513" s="13" t="s">
        <v>145</v>
      </c>
      <c r="C513" s="13" t="s">
        <v>146</v>
      </c>
      <c r="D513" s="13" t="s">
        <v>147</v>
      </c>
      <c r="E513" s="13" t="s">
        <v>148</v>
      </c>
      <c r="F513" s="30" t="s">
        <v>149</v>
      </c>
      <c r="H513" s="103"/>
      <c r="I513" s="103"/>
      <c r="J513" s="103"/>
      <c r="K513" s="52"/>
      <c r="L513" s="103"/>
      <c r="M513" s="103"/>
      <c r="N513" s="103"/>
      <c r="O513" s="103"/>
      <c r="P513" s="103"/>
    </row>
    <row r="514" spans="1:16" x14ac:dyDescent="0.25">
      <c r="A514" s="15" t="s">
        <v>27</v>
      </c>
      <c r="B514" s="33">
        <v>4509</v>
      </c>
      <c r="C514" s="33">
        <v>4253</v>
      </c>
      <c r="D514" s="33">
        <v>4517</v>
      </c>
      <c r="E514" s="33">
        <v>5159</v>
      </c>
      <c r="F514" s="51">
        <f>SUM(B514:E514)</f>
        <v>18438</v>
      </c>
      <c r="H514" s="65"/>
      <c r="I514" s="65"/>
      <c r="J514" s="65"/>
      <c r="L514" s="65"/>
      <c r="M514" s="65"/>
      <c r="N514" s="65"/>
      <c r="O514" s="65"/>
      <c r="P514" s="65"/>
    </row>
    <row r="515" spans="1:16" x14ac:dyDescent="0.25">
      <c r="A515" s="15" t="s">
        <v>62</v>
      </c>
      <c r="B515" s="33">
        <v>13192</v>
      </c>
      <c r="C515" s="33">
        <v>13649</v>
      </c>
      <c r="D515" s="33">
        <v>13518</v>
      </c>
      <c r="E515" s="33">
        <v>17043</v>
      </c>
      <c r="F515" s="51">
        <f>SUM(B515:E515)</f>
        <v>57402</v>
      </c>
    </row>
    <row r="516" spans="1:16" x14ac:dyDescent="0.25">
      <c r="A516" s="15" t="s">
        <v>30</v>
      </c>
      <c r="B516" s="33">
        <v>9983</v>
      </c>
      <c r="C516" s="33">
        <v>8883</v>
      </c>
      <c r="D516" s="33">
        <v>9678</v>
      </c>
      <c r="E516" s="33">
        <v>11824</v>
      </c>
      <c r="F516" s="51">
        <f>SUM(B516:E516)</f>
        <v>40368</v>
      </c>
    </row>
    <row r="517" spans="1:16" x14ac:dyDescent="0.25">
      <c r="A517" s="15" t="s">
        <v>22</v>
      </c>
      <c r="B517" s="33">
        <v>11850</v>
      </c>
      <c r="C517" s="33">
        <v>10209</v>
      </c>
      <c r="D517" s="33">
        <v>12012</v>
      </c>
      <c r="E517" s="33">
        <v>13516</v>
      </c>
      <c r="F517" s="51">
        <f>SUM(B517:E517)</f>
        <v>47587</v>
      </c>
    </row>
    <row r="518" spans="1:16" x14ac:dyDescent="0.25">
      <c r="A518" s="15" t="s">
        <v>21</v>
      </c>
      <c r="B518" s="33">
        <v>5660</v>
      </c>
      <c r="C518" s="33">
        <v>5308</v>
      </c>
      <c r="D518" s="33">
        <v>6719</v>
      </c>
      <c r="E518" s="33">
        <v>7605</v>
      </c>
      <c r="F518" s="51">
        <f>SUM(B518:E518)</f>
        <v>25292</v>
      </c>
    </row>
    <row r="519" spans="1:16" x14ac:dyDescent="0.25">
      <c r="A519" s="18" t="s">
        <v>65</v>
      </c>
      <c r="B519" s="19">
        <f>SUM(B514:B518)</f>
        <v>45194</v>
      </c>
      <c r="C519" s="19">
        <f>SUM(C514:C518)</f>
        <v>42302</v>
      </c>
      <c r="D519" s="19">
        <f>SUM(D514:D518)</f>
        <v>46444</v>
      </c>
      <c r="E519" s="19">
        <f>SUM(E514:E518)</f>
        <v>55147</v>
      </c>
      <c r="F519" s="19">
        <f>SUM(F514:F518)</f>
        <v>189087</v>
      </c>
      <c r="H519" s="65"/>
      <c r="I519" s="65"/>
      <c r="J519" s="65"/>
      <c r="L519" s="65"/>
      <c r="M519" s="65"/>
      <c r="N519" s="65"/>
      <c r="O519" s="65"/>
      <c r="P519" s="65"/>
    </row>
    <row r="521" spans="1:16" ht="13" x14ac:dyDescent="0.3">
      <c r="B521" s="13" t="s">
        <v>145</v>
      </c>
      <c r="C521" s="13" t="s">
        <v>146</v>
      </c>
      <c r="D521" s="13" t="s">
        <v>147</v>
      </c>
      <c r="E521" s="13" t="s">
        <v>148</v>
      </c>
      <c r="F521" s="30" t="s">
        <v>149</v>
      </c>
    </row>
    <row r="522" spans="1:16" x14ac:dyDescent="0.25">
      <c r="A522" s="12" t="s">
        <v>170</v>
      </c>
      <c r="B522" s="19">
        <f>SUM(B519,B511)</f>
        <v>59088</v>
      </c>
      <c r="C522" s="19">
        <f>SUM(C519,C511)</f>
        <v>56420</v>
      </c>
      <c r="D522" s="19">
        <f>SUM(D519,D511)</f>
        <v>58368</v>
      </c>
      <c r="E522" s="19">
        <f>SUM(E519,E511)</f>
        <v>67029</v>
      </c>
      <c r="F522" s="19">
        <f>SUM(F519,F511)</f>
        <v>240905</v>
      </c>
    </row>
    <row r="524" spans="1:16" s="46" customFormat="1" ht="11.5" x14ac:dyDescent="0.25">
      <c r="A524" s="27"/>
      <c r="B524" s="27"/>
      <c r="C524" s="28"/>
      <c r="D524" s="28"/>
      <c r="E524" s="28"/>
      <c r="F524" s="28"/>
      <c r="H524" s="28"/>
      <c r="I524" s="28"/>
      <c r="J524" s="28"/>
      <c r="K524" s="28"/>
      <c r="L524" s="28"/>
      <c r="M524" s="28"/>
      <c r="N524" s="28"/>
    </row>
    <row r="527" spans="1:16" ht="13" x14ac:dyDescent="0.3">
      <c r="A527" s="11" t="s">
        <v>152</v>
      </c>
    </row>
    <row r="528" spans="1:16" ht="13" x14ac:dyDescent="0.3">
      <c r="A528" s="29"/>
    </row>
    <row r="529" spans="1:6" ht="13" x14ac:dyDescent="0.3">
      <c r="A529" s="12" t="s">
        <v>169</v>
      </c>
      <c r="B529" s="13" t="s">
        <v>153</v>
      </c>
      <c r="C529" s="13" t="s">
        <v>154</v>
      </c>
      <c r="D529" s="13" t="s">
        <v>155</v>
      </c>
      <c r="E529" s="13" t="s">
        <v>156</v>
      </c>
      <c r="F529" s="30" t="s">
        <v>157</v>
      </c>
    </row>
    <row r="530" spans="1:6" x14ac:dyDescent="0.25">
      <c r="A530" s="15" t="s">
        <v>56</v>
      </c>
      <c r="B530" s="17">
        <v>8348</v>
      </c>
      <c r="C530" s="17">
        <v>7418</v>
      </c>
      <c r="D530" s="17">
        <v>9234</v>
      </c>
      <c r="E530" s="17">
        <v>8870</v>
      </c>
      <c r="F530" s="51">
        <f>SUM(B530:E530)</f>
        <v>33870</v>
      </c>
    </row>
    <row r="531" spans="1:6" x14ac:dyDescent="0.25">
      <c r="A531" s="15" t="s">
        <v>150</v>
      </c>
      <c r="B531" s="17">
        <v>1056</v>
      </c>
      <c r="C531" s="17">
        <v>780</v>
      </c>
      <c r="D531" s="17">
        <v>429</v>
      </c>
      <c r="E531" s="17">
        <v>127</v>
      </c>
      <c r="F531" s="51">
        <f>SUM(B531:E531)</f>
        <v>2392</v>
      </c>
    </row>
    <row r="532" spans="1:6" x14ac:dyDescent="0.25">
      <c r="A532" s="15" t="s">
        <v>151</v>
      </c>
      <c r="B532" s="34">
        <v>0</v>
      </c>
      <c r="C532" s="34">
        <v>0</v>
      </c>
      <c r="D532" s="34">
        <v>11</v>
      </c>
      <c r="E532" s="17">
        <v>236</v>
      </c>
      <c r="F532" s="51">
        <f>SUM(B532:E532)</f>
        <v>247</v>
      </c>
    </row>
    <row r="533" spans="1:6" x14ac:dyDescent="0.25">
      <c r="A533" s="15" t="s">
        <v>84</v>
      </c>
      <c r="B533" s="17">
        <v>1913</v>
      </c>
      <c r="C533" s="17">
        <v>1504</v>
      </c>
      <c r="D533" s="17">
        <v>1227</v>
      </c>
      <c r="E533" s="17">
        <v>1405</v>
      </c>
      <c r="F533" s="51">
        <f>SUM(B533:E533)</f>
        <v>6049</v>
      </c>
    </row>
    <row r="534" spans="1:6" x14ac:dyDescent="0.25">
      <c r="A534" s="15" t="s">
        <v>85</v>
      </c>
      <c r="B534" s="17">
        <v>2757</v>
      </c>
      <c r="C534" s="17">
        <v>2373</v>
      </c>
      <c r="D534" s="17">
        <v>2462</v>
      </c>
      <c r="E534" s="17">
        <v>870</v>
      </c>
      <c r="F534" s="51">
        <f>SUM(B534:E534)</f>
        <v>8462</v>
      </c>
    </row>
    <row r="535" spans="1:6" x14ac:dyDescent="0.25">
      <c r="A535" s="18" t="s">
        <v>41</v>
      </c>
      <c r="B535" s="19">
        <f>SUM(B530:B534)</f>
        <v>14074</v>
      </c>
      <c r="C535" s="19">
        <f>SUM(C530:C534)</f>
        <v>12075</v>
      </c>
      <c r="D535" s="19">
        <f>SUM(D530:D534)</f>
        <v>13363</v>
      </c>
      <c r="E535" s="19">
        <f>SUM(E530:E534)</f>
        <v>11508</v>
      </c>
      <c r="F535" s="19">
        <f>SUM(F530:F534)</f>
        <v>51020</v>
      </c>
    </row>
    <row r="537" spans="1:6" ht="13" x14ac:dyDescent="0.3">
      <c r="A537" s="12" t="s">
        <v>172</v>
      </c>
      <c r="B537" s="13" t="s">
        <v>153</v>
      </c>
      <c r="C537" s="13" t="s">
        <v>154</v>
      </c>
      <c r="D537" s="13" t="s">
        <v>155</v>
      </c>
      <c r="E537" s="13" t="s">
        <v>156</v>
      </c>
      <c r="F537" s="30" t="s">
        <v>157</v>
      </c>
    </row>
    <row r="538" spans="1:6" x14ac:dyDescent="0.25">
      <c r="A538" s="15" t="s">
        <v>27</v>
      </c>
      <c r="B538" s="17">
        <v>4635</v>
      </c>
      <c r="C538" s="17">
        <v>4308</v>
      </c>
      <c r="D538" s="17">
        <v>5346</v>
      </c>
      <c r="E538" s="17">
        <v>4842</v>
      </c>
      <c r="F538" s="51">
        <f>SUM(B538:E538)</f>
        <v>19131</v>
      </c>
    </row>
    <row r="539" spans="1:6" x14ac:dyDescent="0.25">
      <c r="A539" s="15" t="s">
        <v>62</v>
      </c>
      <c r="B539" s="17">
        <v>11099</v>
      </c>
      <c r="C539" s="17">
        <v>11014</v>
      </c>
      <c r="D539" s="17">
        <v>11424</v>
      </c>
      <c r="E539" s="17">
        <v>14474</v>
      </c>
      <c r="F539" s="51">
        <f>SUM(B539:E539)</f>
        <v>48011</v>
      </c>
    </row>
    <row r="540" spans="1:6" x14ac:dyDescent="0.25">
      <c r="A540" s="15" t="s">
        <v>30</v>
      </c>
      <c r="B540" s="17">
        <v>6096</v>
      </c>
      <c r="C540" s="17">
        <v>6206</v>
      </c>
      <c r="D540" s="17">
        <v>8345</v>
      </c>
      <c r="E540" s="17">
        <v>10199</v>
      </c>
      <c r="F540" s="51">
        <f>SUM(B540:E540)</f>
        <v>30846</v>
      </c>
    </row>
    <row r="541" spans="1:6" x14ac:dyDescent="0.25">
      <c r="A541" s="15" t="s">
        <v>22</v>
      </c>
      <c r="B541" s="17">
        <v>8148</v>
      </c>
      <c r="C541" s="17">
        <v>8154</v>
      </c>
      <c r="D541" s="17">
        <v>11079</v>
      </c>
      <c r="E541" s="17">
        <v>12025</v>
      </c>
      <c r="F541" s="51">
        <f>SUM(B541:E541)</f>
        <v>39406</v>
      </c>
    </row>
    <row r="542" spans="1:6" x14ac:dyDescent="0.25">
      <c r="A542" s="15" t="s">
        <v>21</v>
      </c>
      <c r="B542" s="17">
        <v>3094</v>
      </c>
      <c r="C542" s="17">
        <v>5036</v>
      </c>
      <c r="D542" s="17">
        <v>5738</v>
      </c>
      <c r="E542" s="17">
        <v>5915</v>
      </c>
      <c r="F542" s="51">
        <f>SUM(B542:E542)</f>
        <v>19783</v>
      </c>
    </row>
    <row r="543" spans="1:6" x14ac:dyDescent="0.25">
      <c r="A543" s="18" t="s">
        <v>65</v>
      </c>
      <c r="B543" s="19">
        <f>SUM(B538:B542)</f>
        <v>33072</v>
      </c>
      <c r="C543" s="19">
        <f>SUM(C538:C542)</f>
        <v>34718</v>
      </c>
      <c r="D543" s="19">
        <f>SUM(D538:D542)</f>
        <v>41932</v>
      </c>
      <c r="E543" s="19">
        <f>SUM(E538:E542)</f>
        <v>47455</v>
      </c>
      <c r="F543" s="19">
        <f>SUM(F538:F542)</f>
        <v>157177</v>
      </c>
    </row>
    <row r="545" spans="1:14" ht="13" x14ac:dyDescent="0.3">
      <c r="B545" s="13" t="s">
        <v>153</v>
      </c>
      <c r="C545" s="13" t="s">
        <v>154</v>
      </c>
      <c r="D545" s="13" t="s">
        <v>155</v>
      </c>
      <c r="E545" s="13" t="s">
        <v>156</v>
      </c>
      <c r="F545" s="30" t="s">
        <v>157</v>
      </c>
    </row>
    <row r="546" spans="1:14" x14ac:dyDescent="0.25">
      <c r="A546" s="12" t="s">
        <v>170</v>
      </c>
      <c r="B546" s="19">
        <f>SUM(B543,B535)</f>
        <v>47146</v>
      </c>
      <c r="C546" s="19">
        <f>SUM(C543,C535)</f>
        <v>46793</v>
      </c>
      <c r="D546" s="19">
        <f>SUM(D543,D535)</f>
        <v>55295</v>
      </c>
      <c r="E546" s="19">
        <f>SUM(E543,E535)</f>
        <v>58963</v>
      </c>
      <c r="F546" s="19">
        <f>SUM(F543,F535)</f>
        <v>208197</v>
      </c>
    </row>
    <row r="548" spans="1:14" s="46" customFormat="1" ht="11.5" x14ac:dyDescent="0.25">
      <c r="A548" s="27"/>
      <c r="B548" s="27"/>
      <c r="C548" s="28"/>
      <c r="D548" s="28"/>
      <c r="E548" s="28"/>
      <c r="F548" s="28"/>
      <c r="H548" s="28"/>
      <c r="I548" s="28"/>
      <c r="J548" s="28"/>
      <c r="K548" s="28"/>
      <c r="L548" s="28"/>
      <c r="M548" s="28"/>
      <c r="N548" s="28"/>
    </row>
    <row r="551" spans="1:14" ht="13" x14ac:dyDescent="0.3">
      <c r="A551" s="11" t="s">
        <v>158</v>
      </c>
    </row>
    <row r="552" spans="1:14" ht="13" x14ac:dyDescent="0.3">
      <c r="A552" s="29"/>
    </row>
    <row r="553" spans="1:14" ht="13" x14ac:dyDescent="0.3">
      <c r="A553" s="12" t="s">
        <v>169</v>
      </c>
      <c r="B553" s="13" t="s">
        <v>159</v>
      </c>
      <c r="C553" s="13" t="s">
        <v>160</v>
      </c>
      <c r="D553" s="13" t="s">
        <v>161</v>
      </c>
      <c r="E553" s="13" t="s">
        <v>162</v>
      </c>
      <c r="F553" s="30" t="s">
        <v>163</v>
      </c>
    </row>
    <row r="554" spans="1:14" x14ac:dyDescent="0.25">
      <c r="A554" s="15" t="s">
        <v>56</v>
      </c>
      <c r="B554" s="51">
        <v>3667</v>
      </c>
      <c r="C554" s="51">
        <v>9845</v>
      </c>
      <c r="D554" s="51">
        <v>6997</v>
      </c>
      <c r="E554" s="51">
        <v>6906</v>
      </c>
      <c r="F554" s="51">
        <f>SUM(B554:E554)</f>
        <v>27415</v>
      </c>
    </row>
    <row r="555" spans="1:14" x14ac:dyDescent="0.25">
      <c r="A555" s="15" t="s">
        <v>150</v>
      </c>
      <c r="B555" s="51">
        <v>593</v>
      </c>
      <c r="C555" s="51">
        <v>1443</v>
      </c>
      <c r="D555" s="51">
        <v>1424</v>
      </c>
      <c r="E555" s="51">
        <v>1247</v>
      </c>
      <c r="F555" s="51">
        <f>SUM(B555:E555)</f>
        <v>4707</v>
      </c>
    </row>
    <row r="556" spans="1:14" x14ac:dyDescent="0.25">
      <c r="A556" s="15" t="s">
        <v>84</v>
      </c>
      <c r="B556" s="51">
        <v>688</v>
      </c>
      <c r="C556" s="51">
        <v>1828</v>
      </c>
      <c r="D556" s="51">
        <v>966</v>
      </c>
      <c r="E556" s="51">
        <v>1395</v>
      </c>
      <c r="F556" s="51">
        <f>SUM(B556:E556)</f>
        <v>4877</v>
      </c>
    </row>
    <row r="557" spans="1:14" x14ac:dyDescent="0.25">
      <c r="A557" s="15" t="s">
        <v>85</v>
      </c>
      <c r="B557" s="51">
        <v>1845</v>
      </c>
      <c r="C557" s="51">
        <v>4337</v>
      </c>
      <c r="D557" s="51">
        <v>2902</v>
      </c>
      <c r="E557" s="51">
        <v>2795</v>
      </c>
      <c r="F557" s="51">
        <f>SUM(B557:E557)</f>
        <v>11879</v>
      </c>
    </row>
    <row r="558" spans="1:14" x14ac:dyDescent="0.25">
      <c r="A558" s="18" t="s">
        <v>41</v>
      </c>
      <c r="B558" s="19">
        <f>SUM(B554:B557)</f>
        <v>6793</v>
      </c>
      <c r="C558" s="19">
        <f>SUM(C554:C557)</f>
        <v>17453</v>
      </c>
      <c r="D558" s="19">
        <f>SUM(D554:D557)</f>
        <v>12289</v>
      </c>
      <c r="E558" s="19">
        <f>SUM(E554:E557)</f>
        <v>12343</v>
      </c>
      <c r="F558" s="19">
        <f>SUM(F554:F557)</f>
        <v>48878</v>
      </c>
    </row>
    <row r="560" spans="1:14" ht="13" x14ac:dyDescent="0.3">
      <c r="A560" s="12" t="s">
        <v>172</v>
      </c>
      <c r="B560" s="13" t="s">
        <v>159</v>
      </c>
      <c r="C560" s="13" t="s">
        <v>160</v>
      </c>
      <c r="D560" s="13" t="s">
        <v>161</v>
      </c>
      <c r="E560" s="13" t="s">
        <v>162</v>
      </c>
      <c r="F560" s="30" t="s">
        <v>163</v>
      </c>
    </row>
    <row r="561" spans="1:14" x14ac:dyDescent="0.25">
      <c r="A561" s="15" t="s">
        <v>27</v>
      </c>
      <c r="B561" s="51">
        <v>2173</v>
      </c>
      <c r="C561" s="51">
        <v>5435</v>
      </c>
      <c r="D561" s="51">
        <v>6124</v>
      </c>
      <c r="E561" s="51">
        <v>4374</v>
      </c>
      <c r="F561" s="51">
        <f>SUM(B561:E561)</f>
        <v>18106</v>
      </c>
    </row>
    <row r="562" spans="1:14" x14ac:dyDescent="0.25">
      <c r="A562" s="15" t="s">
        <v>62</v>
      </c>
      <c r="B562" s="51">
        <v>2101</v>
      </c>
      <c r="C562" s="51">
        <v>5097</v>
      </c>
      <c r="D562" s="51">
        <v>5064</v>
      </c>
      <c r="E562" s="51">
        <v>4372</v>
      </c>
      <c r="F562" s="51">
        <f>SUM(B562:E562)</f>
        <v>16634</v>
      </c>
    </row>
    <row r="563" spans="1:14" x14ac:dyDescent="0.25">
      <c r="A563" s="15" t="s">
        <v>30</v>
      </c>
      <c r="B563" s="51">
        <v>5510</v>
      </c>
      <c r="C563" s="51">
        <v>12531</v>
      </c>
      <c r="D563" s="51">
        <v>10472</v>
      </c>
      <c r="E563" s="51">
        <v>11684</v>
      </c>
      <c r="F563" s="51">
        <f>SUM(B563:E563)</f>
        <v>40197</v>
      </c>
    </row>
    <row r="564" spans="1:14" x14ac:dyDescent="0.25">
      <c r="A564" s="15" t="s">
        <v>22</v>
      </c>
      <c r="B564" s="51">
        <v>3193</v>
      </c>
      <c r="C564" s="51">
        <v>8102</v>
      </c>
      <c r="D564" s="51">
        <v>5340</v>
      </c>
      <c r="E564" s="51">
        <v>6086</v>
      </c>
      <c r="F564" s="51">
        <f>SUM(B564:E564)</f>
        <v>22721</v>
      </c>
    </row>
    <row r="565" spans="1:14" x14ac:dyDescent="0.25">
      <c r="A565" s="15" t="s">
        <v>21</v>
      </c>
      <c r="B565" s="51">
        <v>3873</v>
      </c>
      <c r="C565" s="51">
        <v>10467</v>
      </c>
      <c r="D565" s="51">
        <v>8413</v>
      </c>
      <c r="E565" s="51">
        <v>8133</v>
      </c>
      <c r="F565" s="51">
        <f>SUM(B565:E565)</f>
        <v>30886</v>
      </c>
    </row>
    <row r="566" spans="1:14" x14ac:dyDescent="0.25">
      <c r="A566" s="18" t="s">
        <v>65</v>
      </c>
      <c r="B566" s="55">
        <f>SUM(B561:B565)</f>
        <v>16850</v>
      </c>
      <c r="C566" s="55">
        <f>SUM(C561:C565)</f>
        <v>41632</v>
      </c>
      <c r="D566" s="55">
        <f>SUM(D561:D565)</f>
        <v>35413</v>
      </c>
      <c r="E566" s="55">
        <f>SUM(E561:E565)</f>
        <v>34649</v>
      </c>
      <c r="F566" s="55">
        <f>SUM(F561:F565)</f>
        <v>128544</v>
      </c>
    </row>
    <row r="568" spans="1:14" ht="13" x14ac:dyDescent="0.3">
      <c r="B568" s="13" t="s">
        <v>159</v>
      </c>
      <c r="C568" s="13" t="s">
        <v>160</v>
      </c>
      <c r="D568" s="13" t="s">
        <v>161</v>
      </c>
      <c r="E568" s="13" t="s">
        <v>162</v>
      </c>
      <c r="F568" s="30" t="s">
        <v>163</v>
      </c>
    </row>
    <row r="569" spans="1:14" x14ac:dyDescent="0.25">
      <c r="A569" s="12" t="s">
        <v>170</v>
      </c>
      <c r="B569" s="55">
        <f>B558+B566</f>
        <v>23643</v>
      </c>
      <c r="C569" s="55">
        <f>C558+C566</f>
        <v>59085</v>
      </c>
      <c r="D569" s="55">
        <f>D558+D566</f>
        <v>47702</v>
      </c>
      <c r="E569" s="55">
        <f>E558+E566</f>
        <v>46992</v>
      </c>
      <c r="F569" s="55">
        <f>F558+F566</f>
        <v>177422</v>
      </c>
    </row>
    <row r="571" spans="1:14" s="46" customFormat="1" ht="11.5" x14ac:dyDescent="0.25">
      <c r="A571" s="27"/>
      <c r="B571" s="27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 x14ac:dyDescent="0.25">
      <c r="A572" s="57" t="s">
        <v>187</v>
      </c>
    </row>
  </sheetData>
  <mergeCells count="7">
    <mergeCell ref="H513:J513"/>
    <mergeCell ref="L513:P513"/>
    <mergeCell ref="L485:P485"/>
    <mergeCell ref="H488:J488"/>
    <mergeCell ref="L488:P488"/>
    <mergeCell ref="H509:J509"/>
    <mergeCell ref="L509:P509"/>
  </mergeCells>
  <pageMargins left="0.56999999999999995" right="0.81" top="0.42" bottom="0.26" header="0.44" footer="0.2"/>
  <pageSetup paperSize="9" scale="49" orientation="landscape" r:id="rId1"/>
  <headerFooter alignWithMargins="0"/>
  <rowBreaks count="1" manualBreakCount="1">
    <brk id="50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0F5A-6D13-4124-A7A7-D5B894F60B99}">
  <sheetPr>
    <pageSetUpPr fitToPage="1"/>
  </sheetPr>
  <dimension ref="A1:P605"/>
  <sheetViews>
    <sheetView showGridLines="0" topLeftCell="A39" zoomScaleNormal="100" workbookViewId="0">
      <selection activeCell="B60" sqref="B60"/>
    </sheetView>
  </sheetViews>
  <sheetFormatPr defaultColWidth="19" defaultRowHeight="12" x14ac:dyDescent="0.3"/>
  <cols>
    <col min="1" max="1" width="35.6328125" style="69" customWidth="1"/>
    <col min="2" max="7" width="14.6328125" style="41" customWidth="1"/>
    <col min="8" max="22" width="10.90625" style="41" customWidth="1"/>
    <col min="23" max="16384" width="19" style="41"/>
  </cols>
  <sheetData>
    <row r="1" spans="1:8" s="52" customFormat="1" ht="13" x14ac:dyDescent="0.3">
      <c r="A1" s="9" t="s">
        <v>188</v>
      </c>
    </row>
    <row r="2" spans="1:8" s="52" customFormat="1" ht="13" x14ac:dyDescent="0.3">
      <c r="A2" s="66"/>
    </row>
    <row r="3" spans="1:8" s="67" customFormat="1" ht="13" x14ac:dyDescent="0.3">
      <c r="A3" s="11" t="s">
        <v>14</v>
      </c>
      <c r="B3" s="41"/>
      <c r="C3" s="41"/>
      <c r="D3" s="41"/>
      <c r="E3" s="52"/>
      <c r="F3" s="52"/>
    </row>
    <row r="4" spans="1:8" s="67" customFormat="1" ht="13" x14ac:dyDescent="0.3">
      <c r="A4" s="29"/>
      <c r="B4" s="41"/>
      <c r="C4" s="41"/>
      <c r="D4" s="41"/>
      <c r="E4" s="52"/>
      <c r="F4" s="52"/>
    </row>
    <row r="5" spans="1:8" s="67" customFormat="1" ht="13" x14ac:dyDescent="0.3">
      <c r="A5" s="12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</row>
    <row r="6" spans="1:8" s="67" customFormat="1" ht="13" x14ac:dyDescent="0.3">
      <c r="A6" s="15" t="s">
        <v>189</v>
      </c>
      <c r="B6" s="16">
        <f>[11]SmartView!D56</f>
        <v>9769</v>
      </c>
      <c r="C6" s="16">
        <f>[11]SmartView!E56</f>
        <v>6110</v>
      </c>
      <c r="D6" s="16">
        <f>[11]SmartView!F56</f>
        <v>8569</v>
      </c>
      <c r="E6" s="16">
        <f>[11]SmartView!G56</f>
        <v>0</v>
      </c>
      <c r="F6" s="16">
        <f t="shared" ref="F6:F11" si="0">B6+C6+D6+E6</f>
        <v>24448</v>
      </c>
      <c r="G6" s="68"/>
      <c r="H6" s="68"/>
    </row>
    <row r="7" spans="1:8" s="67" customFormat="1" ht="13" x14ac:dyDescent="0.3">
      <c r="A7" s="15" t="s">
        <v>190</v>
      </c>
      <c r="B7" s="16">
        <f>[11]SmartView!D57</f>
        <v>17102</v>
      </c>
      <c r="C7" s="16">
        <f>[11]SmartView!E57</f>
        <v>11609</v>
      </c>
      <c r="D7" s="16">
        <f>[11]SmartView!F57</f>
        <v>8476</v>
      </c>
      <c r="E7" s="16">
        <f>[11]SmartView!G57</f>
        <v>0</v>
      </c>
      <c r="F7" s="16">
        <f t="shared" si="0"/>
        <v>37187</v>
      </c>
      <c r="G7" s="68"/>
      <c r="H7" s="68"/>
    </row>
    <row r="8" spans="1:8" s="67" customFormat="1" ht="13" x14ac:dyDescent="0.3">
      <c r="A8" s="15" t="s">
        <v>191</v>
      </c>
      <c r="B8" s="16">
        <f>[11]SmartView!D58</f>
        <v>9001</v>
      </c>
      <c r="C8" s="16">
        <f>[11]SmartView!E58</f>
        <v>7204</v>
      </c>
      <c r="D8" s="16">
        <f>[11]SmartView!F58</f>
        <v>6976</v>
      </c>
      <c r="E8" s="16">
        <f>[11]SmartView!G58</f>
        <v>0</v>
      </c>
      <c r="F8" s="16">
        <f t="shared" si="0"/>
        <v>23181</v>
      </c>
      <c r="G8" s="68"/>
      <c r="H8" s="68"/>
    </row>
    <row r="9" spans="1:8" s="67" customFormat="1" ht="13" x14ac:dyDescent="0.3">
      <c r="A9" s="15" t="s">
        <v>192</v>
      </c>
      <c r="B9" s="16">
        <f>[11]SmartView!D59</f>
        <v>6381</v>
      </c>
      <c r="C9" s="16">
        <f>[11]SmartView!E59</f>
        <v>8067</v>
      </c>
      <c r="D9" s="16">
        <f>[11]SmartView!F59</f>
        <v>2673</v>
      </c>
      <c r="E9" s="16">
        <f>[11]SmartView!G59</f>
        <v>0</v>
      </c>
      <c r="F9" s="16">
        <f t="shared" si="0"/>
        <v>17121</v>
      </c>
      <c r="H9" s="68"/>
    </row>
    <row r="10" spans="1:8" s="67" customFormat="1" ht="13" x14ac:dyDescent="0.3">
      <c r="A10" s="15" t="s">
        <v>193</v>
      </c>
      <c r="B10" s="16">
        <f>[11]SmartView!D60</f>
        <v>6082</v>
      </c>
      <c r="C10" s="16">
        <f>[11]SmartView!E60</f>
        <v>4432</v>
      </c>
      <c r="D10" s="16">
        <f>[11]SmartView!F60</f>
        <v>2694</v>
      </c>
      <c r="E10" s="16">
        <f>[11]SmartView!G60</f>
        <v>0</v>
      </c>
      <c r="F10" s="16">
        <f t="shared" si="0"/>
        <v>13208</v>
      </c>
      <c r="G10" s="68"/>
      <c r="H10" s="68"/>
    </row>
    <row r="11" spans="1:8" s="67" customFormat="1" ht="13" x14ac:dyDescent="0.3">
      <c r="A11" s="15" t="s">
        <v>194</v>
      </c>
      <c r="B11" s="16">
        <f>[11]SmartView!D61</f>
        <v>2540</v>
      </c>
      <c r="C11" s="16">
        <f>[11]SmartView!E61</f>
        <v>1374</v>
      </c>
      <c r="D11" s="16">
        <f>[11]SmartView!F61</f>
        <v>2461</v>
      </c>
      <c r="E11" s="16">
        <f>[11]SmartView!G61</f>
        <v>0</v>
      </c>
      <c r="F11" s="16">
        <f t="shared" si="0"/>
        <v>6375</v>
      </c>
      <c r="G11" s="68"/>
      <c r="H11" s="68"/>
    </row>
    <row r="12" spans="1:8" s="67" customFormat="1" ht="13" x14ac:dyDescent="0.3">
      <c r="A12" s="18" t="s">
        <v>25</v>
      </c>
      <c r="B12" s="20">
        <f>SUM(B6:B11)</f>
        <v>50875</v>
      </c>
      <c r="C12" s="20">
        <f t="shared" ref="C12:F12" si="1">SUM(C6:C11)</f>
        <v>38796</v>
      </c>
      <c r="D12" s="20">
        <f t="shared" si="1"/>
        <v>31849</v>
      </c>
      <c r="E12" s="20">
        <f t="shared" si="1"/>
        <v>0</v>
      </c>
      <c r="F12" s="20">
        <f t="shared" si="1"/>
        <v>121520</v>
      </c>
      <c r="G12" s="68"/>
    </row>
    <row r="13" spans="1:8" s="67" customFormat="1" ht="13" x14ac:dyDescent="0.3">
      <c r="A13" s="69"/>
      <c r="B13" s="41"/>
      <c r="C13" s="41"/>
      <c r="D13" s="41"/>
      <c r="E13" s="41"/>
      <c r="F13" s="41"/>
    </row>
    <row r="14" spans="1:8" s="67" customFormat="1" ht="13" x14ac:dyDescent="0.3">
      <c r="A14" s="12" t="s">
        <v>26</v>
      </c>
      <c r="B14" s="13" t="s">
        <v>16</v>
      </c>
      <c r="C14" s="13" t="s">
        <v>17</v>
      </c>
      <c r="D14" s="13" t="s">
        <v>18</v>
      </c>
      <c r="E14" s="13" t="s">
        <v>19</v>
      </c>
      <c r="F14" s="13" t="s">
        <v>20</v>
      </c>
    </row>
    <row r="15" spans="1:8" s="67" customFormat="1" ht="13" x14ac:dyDescent="0.3">
      <c r="A15" s="15" t="s">
        <v>189</v>
      </c>
      <c r="B15" s="16">
        <f>[11]SmartView!D63</f>
        <v>4044</v>
      </c>
      <c r="C15" s="16">
        <f>[11]SmartView!E63</f>
        <v>3731</v>
      </c>
      <c r="D15" s="16">
        <f>[11]SmartView!F63</f>
        <v>5936</v>
      </c>
      <c r="E15" s="16">
        <f>[11]SmartView!G63</f>
        <v>0</v>
      </c>
      <c r="F15" s="16">
        <f t="shared" ref="F15:F20" si="2">B15+C15+D15+E15</f>
        <v>13711</v>
      </c>
      <c r="G15" s="68"/>
      <c r="H15" s="68"/>
    </row>
    <row r="16" spans="1:8" s="67" customFormat="1" ht="13" x14ac:dyDescent="0.3">
      <c r="A16" s="15" t="s">
        <v>190</v>
      </c>
      <c r="B16" s="16">
        <f>[11]SmartView!D64</f>
        <v>7712</v>
      </c>
      <c r="C16" s="16">
        <f>[11]SmartView!E64</f>
        <v>4653</v>
      </c>
      <c r="D16" s="16">
        <f>[11]SmartView!F64</f>
        <v>4100</v>
      </c>
      <c r="E16" s="16">
        <f>[11]SmartView!G64</f>
        <v>0</v>
      </c>
      <c r="F16" s="16">
        <f t="shared" si="2"/>
        <v>16465</v>
      </c>
      <c r="G16" s="68"/>
      <c r="H16" s="68"/>
    </row>
    <row r="17" spans="1:8" s="67" customFormat="1" ht="13" x14ac:dyDescent="0.3">
      <c r="A17" s="15" t="s">
        <v>191</v>
      </c>
      <c r="B17" s="16">
        <f>[11]SmartView!D65</f>
        <v>4359</v>
      </c>
      <c r="C17" s="16">
        <f>[11]SmartView!E65</f>
        <v>2519</v>
      </c>
      <c r="D17" s="16">
        <f>[11]SmartView!F65</f>
        <v>3619</v>
      </c>
      <c r="E17" s="16">
        <f>[11]SmartView!G65</f>
        <v>0</v>
      </c>
      <c r="F17" s="16">
        <f t="shared" si="2"/>
        <v>10497</v>
      </c>
      <c r="G17" s="68"/>
      <c r="H17" s="68"/>
    </row>
    <row r="18" spans="1:8" s="67" customFormat="1" ht="13" x14ac:dyDescent="0.3">
      <c r="A18" s="15" t="s">
        <v>192</v>
      </c>
      <c r="B18" s="16">
        <f>[11]SmartView!D66</f>
        <v>5058</v>
      </c>
      <c r="C18" s="16">
        <f>[11]SmartView!E66</f>
        <v>3008</v>
      </c>
      <c r="D18" s="16">
        <f>[11]SmartView!F66</f>
        <v>2065</v>
      </c>
      <c r="E18" s="16">
        <f>[11]SmartView!G66</f>
        <v>0</v>
      </c>
      <c r="F18" s="16">
        <f t="shared" si="2"/>
        <v>10131</v>
      </c>
      <c r="H18" s="68"/>
    </row>
    <row r="19" spans="1:8" s="67" customFormat="1" ht="13" x14ac:dyDescent="0.3">
      <c r="A19" s="15" t="s">
        <v>193</v>
      </c>
      <c r="B19" s="16">
        <f>[11]SmartView!D67</f>
        <v>4817</v>
      </c>
      <c r="C19" s="16">
        <f>[11]SmartView!E67</f>
        <v>5652</v>
      </c>
      <c r="D19" s="16">
        <f>[11]SmartView!F67</f>
        <v>2200</v>
      </c>
      <c r="E19" s="16">
        <f>[11]SmartView!G67</f>
        <v>0</v>
      </c>
      <c r="F19" s="16">
        <f t="shared" si="2"/>
        <v>12669</v>
      </c>
      <c r="G19" s="68"/>
      <c r="H19" s="68"/>
    </row>
    <row r="20" spans="1:8" s="67" customFormat="1" ht="13" x14ac:dyDescent="0.3">
      <c r="A20" s="15" t="s">
        <v>194</v>
      </c>
      <c r="B20" s="16">
        <f>[11]SmartView!D68</f>
        <v>2261</v>
      </c>
      <c r="C20" s="16">
        <f>[11]SmartView!E68</f>
        <v>1737</v>
      </c>
      <c r="D20" s="16">
        <f>[11]SmartView!F68</f>
        <v>3633</v>
      </c>
      <c r="E20" s="16">
        <f>[11]SmartView!G68</f>
        <v>0</v>
      </c>
      <c r="F20" s="16">
        <f t="shared" si="2"/>
        <v>7631</v>
      </c>
      <c r="G20" s="68"/>
      <c r="H20" s="68"/>
    </row>
    <row r="21" spans="1:8" s="67" customFormat="1" ht="13" x14ac:dyDescent="0.3">
      <c r="A21" s="18" t="s">
        <v>28</v>
      </c>
      <c r="B21" s="20">
        <f>SUM(B15:B20)</f>
        <v>28251</v>
      </c>
      <c r="C21" s="20">
        <f t="shared" ref="C21:F21" si="3">SUM(C15:C20)</f>
        <v>21300</v>
      </c>
      <c r="D21" s="20">
        <f t="shared" si="3"/>
        <v>21553</v>
      </c>
      <c r="E21" s="20">
        <f t="shared" si="3"/>
        <v>0</v>
      </c>
      <c r="F21" s="20">
        <f t="shared" si="3"/>
        <v>71104</v>
      </c>
      <c r="G21" s="68"/>
    </row>
    <row r="22" spans="1:8" s="67" customFormat="1" ht="13" x14ac:dyDescent="0.3">
      <c r="A22" s="69"/>
      <c r="B22" s="41"/>
      <c r="C22" s="41"/>
      <c r="D22" s="41"/>
      <c r="E22" s="41"/>
      <c r="F22" s="41"/>
    </row>
    <row r="23" spans="1:8" s="67" customFormat="1" ht="13" x14ac:dyDescent="0.3">
      <c r="A23" s="12" t="s">
        <v>29</v>
      </c>
      <c r="B23" s="13" t="s">
        <v>16</v>
      </c>
      <c r="C23" s="13" t="s">
        <v>17</v>
      </c>
      <c r="D23" s="13" t="s">
        <v>18</v>
      </c>
      <c r="E23" s="13" t="s">
        <v>19</v>
      </c>
      <c r="F23" s="13" t="s">
        <v>20</v>
      </c>
    </row>
    <row r="24" spans="1:8" s="67" customFormat="1" ht="13" x14ac:dyDescent="0.3">
      <c r="A24" s="15" t="s">
        <v>189</v>
      </c>
      <c r="B24" s="16">
        <f>[11]SmartView!D70</f>
        <v>2915</v>
      </c>
      <c r="C24" s="16">
        <f>[11]SmartView!E70</f>
        <v>1936</v>
      </c>
      <c r="D24" s="16">
        <f>[11]SmartView!F70</f>
        <v>2499</v>
      </c>
      <c r="E24" s="16">
        <f>[11]SmartView!G70</f>
        <v>0</v>
      </c>
      <c r="F24" s="16">
        <f t="shared" ref="F24:F29" si="4">B24+C24+D24+E24</f>
        <v>7350</v>
      </c>
      <c r="G24" s="68"/>
      <c r="H24" s="68"/>
    </row>
    <row r="25" spans="1:8" s="67" customFormat="1" ht="13" x14ac:dyDescent="0.3">
      <c r="A25" s="15" t="s">
        <v>190</v>
      </c>
      <c r="B25" s="16">
        <f>[11]SmartView!D71</f>
        <v>1003</v>
      </c>
      <c r="C25" s="16">
        <f>[11]SmartView!E71</f>
        <v>876</v>
      </c>
      <c r="D25" s="16">
        <f>[11]SmartView!F71</f>
        <v>609</v>
      </c>
      <c r="E25" s="16">
        <f>[11]SmartView!G71</f>
        <v>0</v>
      </c>
      <c r="F25" s="16">
        <f t="shared" si="4"/>
        <v>2488</v>
      </c>
      <c r="G25" s="68"/>
      <c r="H25" s="68"/>
    </row>
    <row r="26" spans="1:8" s="67" customFormat="1" ht="13" x14ac:dyDescent="0.3">
      <c r="A26" s="15" t="s">
        <v>191</v>
      </c>
      <c r="B26" s="16">
        <f>[11]SmartView!D72</f>
        <v>843</v>
      </c>
      <c r="C26" s="16">
        <f>[11]SmartView!E72</f>
        <v>716</v>
      </c>
      <c r="D26" s="16">
        <f>[11]SmartView!F72</f>
        <v>695</v>
      </c>
      <c r="E26" s="16">
        <f>[11]SmartView!G72</f>
        <v>0</v>
      </c>
      <c r="F26" s="16">
        <f t="shared" si="4"/>
        <v>2254</v>
      </c>
      <c r="G26" s="68"/>
      <c r="H26" s="68"/>
    </row>
    <row r="27" spans="1:8" s="67" customFormat="1" ht="13" x14ac:dyDescent="0.3">
      <c r="A27" s="15" t="s">
        <v>192</v>
      </c>
      <c r="B27" s="16">
        <f>[11]SmartView!D73</f>
        <v>276</v>
      </c>
      <c r="C27" s="16">
        <f>[11]SmartView!E73</f>
        <v>275</v>
      </c>
      <c r="D27" s="16">
        <f>[11]SmartView!F73</f>
        <v>252</v>
      </c>
      <c r="E27" s="16">
        <f>[11]SmartView!G73</f>
        <v>0</v>
      </c>
      <c r="F27" s="16">
        <f t="shared" si="4"/>
        <v>803</v>
      </c>
      <c r="H27" s="68"/>
    </row>
    <row r="28" spans="1:8" s="67" customFormat="1" ht="13" x14ac:dyDescent="0.3">
      <c r="A28" s="15" t="s">
        <v>193</v>
      </c>
      <c r="B28" s="16">
        <f>[11]SmartView!D74</f>
        <v>751</v>
      </c>
      <c r="C28" s="16">
        <f>[11]SmartView!E74</f>
        <v>728</v>
      </c>
      <c r="D28" s="16">
        <f>[11]SmartView!F74</f>
        <v>409</v>
      </c>
      <c r="E28" s="16">
        <f>[11]SmartView!G74</f>
        <v>0</v>
      </c>
      <c r="F28" s="16">
        <f t="shared" si="4"/>
        <v>1888</v>
      </c>
      <c r="G28" s="68"/>
      <c r="H28" s="68"/>
    </row>
    <row r="29" spans="1:8" s="67" customFormat="1" ht="13" x14ac:dyDescent="0.3">
      <c r="A29" s="15" t="s">
        <v>194</v>
      </c>
      <c r="B29" s="16">
        <f>[11]SmartView!D75</f>
        <v>33</v>
      </c>
      <c r="C29" s="16">
        <f>[11]SmartView!E75</f>
        <v>19</v>
      </c>
      <c r="D29" s="16">
        <f>[11]SmartView!F75</f>
        <v>12</v>
      </c>
      <c r="E29" s="16">
        <f>[11]SmartView!G75</f>
        <v>0</v>
      </c>
      <c r="F29" s="16">
        <f t="shared" si="4"/>
        <v>64</v>
      </c>
      <c r="G29" s="68"/>
      <c r="H29" s="68"/>
    </row>
    <row r="30" spans="1:8" s="67" customFormat="1" ht="13" x14ac:dyDescent="0.3">
      <c r="A30" s="18" t="s">
        <v>32</v>
      </c>
      <c r="B30" s="20">
        <f>SUM(B24:B29)</f>
        <v>5821</v>
      </c>
      <c r="C30" s="20">
        <f t="shared" ref="C30:F30" si="5">SUM(C24:C29)</f>
        <v>4550</v>
      </c>
      <c r="D30" s="20">
        <f t="shared" si="5"/>
        <v>4476</v>
      </c>
      <c r="E30" s="20">
        <f t="shared" si="5"/>
        <v>0</v>
      </c>
      <c r="F30" s="20">
        <f t="shared" si="5"/>
        <v>14847</v>
      </c>
      <c r="G30" s="68"/>
    </row>
    <row r="31" spans="1:8" s="67" customFormat="1" ht="13" x14ac:dyDescent="0.3">
      <c r="A31" s="69"/>
      <c r="B31" s="41"/>
      <c r="C31" s="41"/>
      <c r="D31" s="41"/>
      <c r="E31" s="41"/>
      <c r="F31" s="41"/>
    </row>
    <row r="32" spans="1:8" s="67" customFormat="1" ht="13" x14ac:dyDescent="0.3">
      <c r="A32" s="12" t="s">
        <v>33</v>
      </c>
      <c r="B32" s="13" t="s">
        <v>16</v>
      </c>
      <c r="C32" s="13" t="s">
        <v>17</v>
      </c>
      <c r="D32" s="13" t="s">
        <v>18</v>
      </c>
      <c r="E32" s="13" t="s">
        <v>19</v>
      </c>
      <c r="F32" s="13" t="s">
        <v>20</v>
      </c>
    </row>
    <row r="33" spans="1:8" s="67" customFormat="1" ht="13" x14ac:dyDescent="0.3">
      <c r="A33" s="15" t="s">
        <v>189</v>
      </c>
      <c r="B33" s="16">
        <f>[11]SmartView!D77</f>
        <v>545</v>
      </c>
      <c r="C33" s="16">
        <f>[11]SmartView!E77</f>
        <v>550</v>
      </c>
      <c r="D33" s="16">
        <f>[11]SmartView!F77</f>
        <v>433</v>
      </c>
      <c r="E33" s="16">
        <f>[11]SmartView!G77</f>
        <v>0</v>
      </c>
      <c r="F33" s="16">
        <f t="shared" ref="F33:F38" si="6">B33+C33+D33+E33</f>
        <v>1528</v>
      </c>
      <c r="G33" s="68"/>
      <c r="H33" s="68"/>
    </row>
    <row r="34" spans="1:8" s="67" customFormat="1" ht="13" x14ac:dyDescent="0.3">
      <c r="A34" s="15" t="s">
        <v>190</v>
      </c>
      <c r="B34" s="16">
        <f>[11]SmartView!D78</f>
        <v>1430</v>
      </c>
      <c r="C34" s="16">
        <f>[11]SmartView!E78</f>
        <v>741</v>
      </c>
      <c r="D34" s="16">
        <f>[11]SmartView!F78</f>
        <v>389</v>
      </c>
      <c r="E34" s="16">
        <f>[11]SmartView!G78</f>
        <v>0</v>
      </c>
      <c r="F34" s="16">
        <f t="shared" si="6"/>
        <v>2560</v>
      </c>
      <c r="G34" s="68"/>
      <c r="H34" s="68"/>
    </row>
    <row r="35" spans="1:8" s="67" customFormat="1" ht="13" x14ac:dyDescent="0.3">
      <c r="A35" s="15" t="s">
        <v>191</v>
      </c>
      <c r="B35" s="16">
        <f>[11]SmartView!D79</f>
        <v>34</v>
      </c>
      <c r="C35" s="16">
        <f>[11]SmartView!E79</f>
        <v>52</v>
      </c>
      <c r="D35" s="16">
        <f>[11]SmartView!F79</f>
        <v>25</v>
      </c>
      <c r="E35" s="16">
        <f>[11]SmartView!G79</f>
        <v>0</v>
      </c>
      <c r="F35" s="16">
        <f t="shared" si="6"/>
        <v>111</v>
      </c>
      <c r="G35" s="68"/>
      <c r="H35" s="68"/>
    </row>
    <row r="36" spans="1:8" s="67" customFormat="1" ht="13" x14ac:dyDescent="0.3">
      <c r="A36" s="15" t="s">
        <v>192</v>
      </c>
      <c r="B36" s="16">
        <f>[11]SmartView!D80</f>
        <v>14</v>
      </c>
      <c r="C36" s="16">
        <f>[11]SmartView!E80</f>
        <v>20</v>
      </c>
      <c r="D36" s="16">
        <f>[11]SmartView!F80</f>
        <v>8</v>
      </c>
      <c r="E36" s="16">
        <f>[11]SmartView!G80</f>
        <v>0</v>
      </c>
      <c r="F36" s="16">
        <f t="shared" si="6"/>
        <v>42</v>
      </c>
      <c r="H36" s="68"/>
    </row>
    <row r="37" spans="1:8" s="67" customFormat="1" ht="13" x14ac:dyDescent="0.3">
      <c r="A37" s="15" t="s">
        <v>193</v>
      </c>
      <c r="B37" s="16">
        <f>[11]SmartView!D81</f>
        <v>260</v>
      </c>
      <c r="C37" s="16">
        <f>[11]SmartView!E81</f>
        <v>76</v>
      </c>
      <c r="D37" s="16">
        <f>[11]SmartView!F81</f>
        <v>36</v>
      </c>
      <c r="E37" s="16">
        <f>[11]SmartView!G81</f>
        <v>0</v>
      </c>
      <c r="F37" s="16">
        <f t="shared" si="6"/>
        <v>372</v>
      </c>
      <c r="G37" s="68"/>
      <c r="H37" s="68"/>
    </row>
    <row r="38" spans="1:8" s="67" customFormat="1" ht="13" x14ac:dyDescent="0.3">
      <c r="A38" s="15" t="s">
        <v>194</v>
      </c>
      <c r="B38" s="16">
        <f>[11]SmartView!D82</f>
        <v>56</v>
      </c>
      <c r="C38" s="16">
        <f>[11]SmartView!E82</f>
        <v>80</v>
      </c>
      <c r="D38" s="16">
        <f>[11]SmartView!F82</f>
        <v>380</v>
      </c>
      <c r="E38" s="16">
        <f>[11]SmartView!G82</f>
        <v>0</v>
      </c>
      <c r="F38" s="16">
        <f t="shared" si="6"/>
        <v>516</v>
      </c>
      <c r="G38" s="68"/>
      <c r="H38" s="68"/>
    </row>
    <row r="39" spans="1:8" s="67" customFormat="1" ht="13" x14ac:dyDescent="0.3">
      <c r="A39" s="18" t="s">
        <v>41</v>
      </c>
      <c r="B39" s="20">
        <f>SUM(B33:B38)</f>
        <v>2339</v>
      </c>
      <c r="C39" s="20">
        <f t="shared" ref="C39:F39" si="7">SUM(C33:C38)</f>
        <v>1519</v>
      </c>
      <c r="D39" s="20">
        <f t="shared" si="7"/>
        <v>1271</v>
      </c>
      <c r="E39" s="20">
        <f t="shared" si="7"/>
        <v>0</v>
      </c>
      <c r="F39" s="20">
        <f t="shared" si="7"/>
        <v>5129</v>
      </c>
      <c r="G39" s="68"/>
    </row>
    <row r="40" spans="1:8" s="67" customFormat="1" ht="13" x14ac:dyDescent="0.3">
      <c r="A40" s="69"/>
      <c r="B40" s="41"/>
      <c r="C40" s="41"/>
      <c r="D40" s="41"/>
      <c r="E40" s="41"/>
      <c r="F40" s="41"/>
    </row>
    <row r="41" spans="1:8" s="67" customFormat="1" ht="13" x14ac:dyDescent="0.3">
      <c r="A41" s="12" t="s">
        <v>195</v>
      </c>
      <c r="B41" s="13" t="s">
        <v>16</v>
      </c>
      <c r="C41" s="13" t="s">
        <v>17</v>
      </c>
      <c r="D41" s="13" t="s">
        <v>18</v>
      </c>
      <c r="E41" s="13" t="s">
        <v>19</v>
      </c>
      <c r="F41" s="13" t="s">
        <v>20</v>
      </c>
    </row>
    <row r="42" spans="1:8" s="67" customFormat="1" ht="13" x14ac:dyDescent="0.3">
      <c r="A42" s="15" t="s">
        <v>189</v>
      </c>
      <c r="B42" s="16">
        <f t="shared" ref="B42:F47" si="8">B6+B15+B24+B33</f>
        <v>17273</v>
      </c>
      <c r="C42" s="16">
        <f t="shared" si="8"/>
        <v>12327</v>
      </c>
      <c r="D42" s="16">
        <f t="shared" si="8"/>
        <v>17437</v>
      </c>
      <c r="E42" s="16">
        <f>E6+E15+E24+E33</f>
        <v>0</v>
      </c>
      <c r="F42" s="16">
        <f>F6+F15+F24+F33</f>
        <v>47037</v>
      </c>
    </row>
    <row r="43" spans="1:8" s="67" customFormat="1" ht="13" x14ac:dyDescent="0.3">
      <c r="A43" s="15" t="s">
        <v>190</v>
      </c>
      <c r="B43" s="16">
        <f t="shared" si="8"/>
        <v>27247</v>
      </c>
      <c r="C43" s="16">
        <f t="shared" si="8"/>
        <v>17879</v>
      </c>
      <c r="D43" s="16">
        <f t="shared" si="8"/>
        <v>13574</v>
      </c>
      <c r="E43" s="16">
        <f t="shared" si="8"/>
        <v>0</v>
      </c>
      <c r="F43" s="16">
        <f t="shared" si="8"/>
        <v>58700</v>
      </c>
    </row>
    <row r="44" spans="1:8" s="67" customFormat="1" ht="13" x14ac:dyDescent="0.3">
      <c r="A44" s="15" t="s">
        <v>191</v>
      </c>
      <c r="B44" s="16">
        <f t="shared" si="8"/>
        <v>14237</v>
      </c>
      <c r="C44" s="16">
        <f t="shared" si="8"/>
        <v>10491</v>
      </c>
      <c r="D44" s="16">
        <f t="shared" si="8"/>
        <v>11315</v>
      </c>
      <c r="E44" s="16">
        <f t="shared" si="8"/>
        <v>0</v>
      </c>
      <c r="F44" s="16">
        <f t="shared" si="8"/>
        <v>36043</v>
      </c>
    </row>
    <row r="45" spans="1:8" s="67" customFormat="1" ht="13" x14ac:dyDescent="0.3">
      <c r="A45" s="15" t="s">
        <v>192</v>
      </c>
      <c r="B45" s="16">
        <f t="shared" si="8"/>
        <v>11729</v>
      </c>
      <c r="C45" s="16">
        <f t="shared" si="8"/>
        <v>11370</v>
      </c>
      <c r="D45" s="16">
        <f t="shared" si="8"/>
        <v>4998</v>
      </c>
      <c r="E45" s="16">
        <f t="shared" si="8"/>
        <v>0</v>
      </c>
      <c r="F45" s="16">
        <f t="shared" si="8"/>
        <v>28097</v>
      </c>
    </row>
    <row r="46" spans="1:8" s="67" customFormat="1" ht="13" x14ac:dyDescent="0.3">
      <c r="A46" s="15" t="s">
        <v>193</v>
      </c>
      <c r="B46" s="16">
        <f t="shared" si="8"/>
        <v>11910</v>
      </c>
      <c r="C46" s="16">
        <f t="shared" si="8"/>
        <v>10888</v>
      </c>
      <c r="D46" s="16">
        <f t="shared" si="8"/>
        <v>5339</v>
      </c>
      <c r="E46" s="16">
        <f t="shared" si="8"/>
        <v>0</v>
      </c>
      <c r="F46" s="16">
        <f t="shared" si="8"/>
        <v>28137</v>
      </c>
    </row>
    <row r="47" spans="1:8" s="67" customFormat="1" ht="13" x14ac:dyDescent="0.3">
      <c r="A47" s="15" t="s">
        <v>194</v>
      </c>
      <c r="B47" s="16">
        <f t="shared" si="8"/>
        <v>4890</v>
      </c>
      <c r="C47" s="16">
        <f t="shared" si="8"/>
        <v>3210</v>
      </c>
      <c r="D47" s="16">
        <f t="shared" si="8"/>
        <v>6486</v>
      </c>
      <c r="E47" s="16">
        <f t="shared" si="8"/>
        <v>0</v>
      </c>
      <c r="F47" s="16">
        <f t="shared" si="8"/>
        <v>14586</v>
      </c>
    </row>
    <row r="48" spans="1:8" s="67" customFormat="1" ht="13" x14ac:dyDescent="0.3">
      <c r="A48" s="18" t="s">
        <v>196</v>
      </c>
      <c r="B48" s="70">
        <f>SUM(B42:B47)</f>
        <v>87286</v>
      </c>
      <c r="C48" s="70">
        <f t="shared" ref="C48:F48" si="9">SUM(C42:C47)</f>
        <v>66165</v>
      </c>
      <c r="D48" s="70">
        <f t="shared" si="9"/>
        <v>59149</v>
      </c>
      <c r="E48" s="70">
        <f t="shared" si="9"/>
        <v>0</v>
      </c>
      <c r="F48" s="70">
        <f t="shared" si="9"/>
        <v>212600</v>
      </c>
      <c r="G48" s="71"/>
    </row>
    <row r="49" spans="1:8" x14ac:dyDescent="0.3">
      <c r="A49" s="23" t="s">
        <v>43</v>
      </c>
      <c r="C49" s="72"/>
    </row>
    <row r="50" spans="1:8" s="42" customFormat="1" x14ac:dyDescent="0.3">
      <c r="A50" s="73"/>
      <c r="B50" s="74"/>
      <c r="C50" s="74"/>
      <c r="D50" s="74"/>
      <c r="E50" s="74"/>
      <c r="F50" s="74"/>
    </row>
    <row r="51" spans="1:8" s="77" customFormat="1" ht="6" customHeight="1" x14ac:dyDescent="0.3">
      <c r="A51" s="75"/>
      <c r="B51" s="76"/>
      <c r="C51" s="76"/>
      <c r="D51" s="76"/>
      <c r="E51" s="76"/>
      <c r="F51" s="76"/>
    </row>
    <row r="52" spans="1:8" ht="6" customHeight="1" x14ac:dyDescent="0.3">
      <c r="A52" s="78"/>
      <c r="B52" s="74"/>
      <c r="C52" s="74"/>
      <c r="D52" s="74"/>
      <c r="E52" s="74"/>
      <c r="F52" s="74"/>
    </row>
    <row r="53" spans="1:8" s="67" customFormat="1" ht="13" x14ac:dyDescent="0.3">
      <c r="A53" s="11" t="s">
        <v>44</v>
      </c>
      <c r="B53" s="41"/>
      <c r="C53" s="41"/>
      <c r="D53" s="41"/>
      <c r="E53" s="52"/>
      <c r="F53" s="52"/>
    </row>
    <row r="54" spans="1:8" s="67" customFormat="1" ht="13" x14ac:dyDescent="0.3">
      <c r="A54" s="29"/>
      <c r="B54" s="41"/>
      <c r="C54" s="41"/>
      <c r="D54" s="41"/>
      <c r="E54" s="52"/>
      <c r="F54" s="52"/>
    </row>
    <row r="55" spans="1:8" s="67" customFormat="1" ht="13" x14ac:dyDescent="0.3">
      <c r="A55" s="12" t="s">
        <v>15</v>
      </c>
      <c r="B55" s="13" t="s">
        <v>45</v>
      </c>
      <c r="C55" s="13" t="s">
        <v>46</v>
      </c>
      <c r="D55" s="13" t="s">
        <v>47</v>
      </c>
      <c r="E55" s="13" t="s">
        <v>48</v>
      </c>
      <c r="F55" s="13" t="s">
        <v>20</v>
      </c>
    </row>
    <row r="56" spans="1:8" s="67" customFormat="1" ht="13" x14ac:dyDescent="0.3">
      <c r="A56" s="15" t="s">
        <v>189</v>
      </c>
      <c r="B56" s="16">
        <v>13363</v>
      </c>
      <c r="C56" s="16">
        <v>5604</v>
      </c>
      <c r="D56" s="16">
        <v>7605</v>
      </c>
      <c r="E56" s="16">
        <v>14792</v>
      </c>
      <c r="F56" s="16">
        <v>41364</v>
      </c>
      <c r="G56" s="68"/>
      <c r="H56" s="68"/>
    </row>
    <row r="57" spans="1:8" s="67" customFormat="1" ht="13" x14ac:dyDescent="0.3">
      <c r="A57" s="15" t="s">
        <v>190</v>
      </c>
      <c r="B57" s="16">
        <v>17485</v>
      </c>
      <c r="C57" s="16">
        <v>14537</v>
      </c>
      <c r="D57" s="16">
        <v>23850</v>
      </c>
      <c r="E57" s="16">
        <v>21704</v>
      </c>
      <c r="F57" s="16">
        <v>77576</v>
      </c>
      <c r="G57" s="68"/>
      <c r="H57" s="68"/>
    </row>
    <row r="58" spans="1:8" s="67" customFormat="1" ht="13" x14ac:dyDescent="0.3">
      <c r="A58" s="15" t="s">
        <v>191</v>
      </c>
      <c r="B58" s="16">
        <v>11006</v>
      </c>
      <c r="C58" s="16">
        <v>8418</v>
      </c>
      <c r="D58" s="16">
        <v>12394</v>
      </c>
      <c r="E58" s="16">
        <v>13024</v>
      </c>
      <c r="F58" s="16">
        <v>44842</v>
      </c>
      <c r="G58" s="68"/>
      <c r="H58" s="68"/>
    </row>
    <row r="59" spans="1:8" s="67" customFormat="1" ht="13" x14ac:dyDescent="0.3">
      <c r="A59" s="15" t="s">
        <v>192</v>
      </c>
      <c r="B59" s="16">
        <v>7066</v>
      </c>
      <c r="C59" s="16">
        <v>8714</v>
      </c>
      <c r="D59" s="16">
        <v>5955</v>
      </c>
      <c r="E59" s="16">
        <v>4769</v>
      </c>
      <c r="F59" s="16">
        <v>26504</v>
      </c>
      <c r="H59" s="68"/>
    </row>
    <row r="60" spans="1:8" s="67" customFormat="1" ht="13" x14ac:dyDescent="0.3">
      <c r="A60" s="15" t="s">
        <v>193</v>
      </c>
      <c r="B60" s="16">
        <v>8462</v>
      </c>
      <c r="C60" s="16">
        <v>7488</v>
      </c>
      <c r="D60" s="16">
        <v>9362</v>
      </c>
      <c r="E60" s="16">
        <v>9008</v>
      </c>
      <c r="F60" s="16">
        <v>34320</v>
      </c>
      <c r="G60" s="68"/>
      <c r="H60" s="68"/>
    </row>
    <row r="61" spans="1:8" s="67" customFormat="1" ht="13" x14ac:dyDescent="0.3">
      <c r="A61" s="18" t="s">
        <v>25</v>
      </c>
      <c r="B61" s="20">
        <v>54923</v>
      </c>
      <c r="C61" s="20">
        <v>42193</v>
      </c>
      <c r="D61" s="20">
        <v>55412</v>
      </c>
      <c r="E61" s="20">
        <v>60637</v>
      </c>
      <c r="F61" s="20">
        <v>224606</v>
      </c>
      <c r="G61" s="68"/>
    </row>
    <row r="62" spans="1:8" s="67" customFormat="1" ht="13" x14ac:dyDescent="0.3">
      <c r="A62" s="69"/>
      <c r="B62" s="41"/>
      <c r="C62" s="41"/>
      <c r="D62" s="41"/>
      <c r="E62" s="41"/>
      <c r="F62" s="41"/>
    </row>
    <row r="63" spans="1:8" s="67" customFormat="1" ht="13" x14ac:dyDescent="0.3">
      <c r="A63" s="12" t="s">
        <v>26</v>
      </c>
      <c r="B63" s="13" t="s">
        <v>45</v>
      </c>
      <c r="C63" s="13" t="s">
        <v>46</v>
      </c>
      <c r="D63" s="13" t="s">
        <v>47</v>
      </c>
      <c r="E63" s="13" t="s">
        <v>48</v>
      </c>
      <c r="F63" s="13" t="s">
        <v>20</v>
      </c>
    </row>
    <row r="64" spans="1:8" s="67" customFormat="1" ht="13" x14ac:dyDescent="0.3">
      <c r="A64" s="15" t="s">
        <v>189</v>
      </c>
      <c r="B64" s="16">
        <v>3813</v>
      </c>
      <c r="C64" s="16">
        <v>2791</v>
      </c>
      <c r="D64" s="16">
        <v>5492</v>
      </c>
      <c r="E64" s="16">
        <v>5790</v>
      </c>
      <c r="F64" s="16">
        <v>17886</v>
      </c>
      <c r="G64" s="68"/>
      <c r="H64" s="68"/>
    </row>
    <row r="65" spans="1:8" s="67" customFormat="1" ht="13" x14ac:dyDescent="0.3">
      <c r="A65" s="15" t="s">
        <v>190</v>
      </c>
      <c r="B65" s="16">
        <v>8414</v>
      </c>
      <c r="C65" s="16">
        <v>7179</v>
      </c>
      <c r="D65" s="16">
        <v>9262</v>
      </c>
      <c r="E65" s="16">
        <v>7940</v>
      </c>
      <c r="F65" s="16">
        <v>32795</v>
      </c>
      <c r="G65" s="68"/>
      <c r="H65" s="68"/>
    </row>
    <row r="66" spans="1:8" s="67" customFormat="1" ht="13" x14ac:dyDescent="0.3">
      <c r="A66" s="15" t="s">
        <v>191</v>
      </c>
      <c r="B66" s="16">
        <v>3381</v>
      </c>
      <c r="C66" s="16">
        <v>2186</v>
      </c>
      <c r="D66" s="16">
        <v>6618</v>
      </c>
      <c r="E66" s="16">
        <v>6107</v>
      </c>
      <c r="F66" s="16">
        <v>18292</v>
      </c>
      <c r="G66" s="68"/>
      <c r="H66" s="68"/>
    </row>
    <row r="67" spans="1:8" s="67" customFormat="1" ht="13" x14ac:dyDescent="0.3">
      <c r="A67" s="15" t="s">
        <v>192</v>
      </c>
      <c r="B67" s="16">
        <v>3818</v>
      </c>
      <c r="C67" s="16">
        <v>7108</v>
      </c>
      <c r="D67" s="16">
        <v>2850</v>
      </c>
      <c r="E67" s="16">
        <v>3810</v>
      </c>
      <c r="F67" s="16">
        <v>17586</v>
      </c>
      <c r="H67" s="68"/>
    </row>
    <row r="68" spans="1:8" s="67" customFormat="1" ht="13" x14ac:dyDescent="0.3">
      <c r="A68" s="15" t="s">
        <v>193</v>
      </c>
      <c r="B68" s="16">
        <v>5104</v>
      </c>
      <c r="C68" s="16">
        <v>9513</v>
      </c>
      <c r="D68" s="16">
        <v>6383</v>
      </c>
      <c r="E68" s="16">
        <v>7845</v>
      </c>
      <c r="F68" s="16">
        <v>28845</v>
      </c>
      <c r="G68" s="68"/>
      <c r="H68" s="68"/>
    </row>
    <row r="69" spans="1:8" s="67" customFormat="1" ht="13" x14ac:dyDescent="0.3">
      <c r="A69" s="18" t="s">
        <v>28</v>
      </c>
      <c r="B69" s="20">
        <v>24530</v>
      </c>
      <c r="C69" s="20">
        <v>28777</v>
      </c>
      <c r="D69" s="20">
        <v>30605</v>
      </c>
      <c r="E69" s="20">
        <v>31492</v>
      </c>
      <c r="F69" s="20">
        <v>115404</v>
      </c>
      <c r="G69" s="68"/>
    </row>
    <row r="70" spans="1:8" s="67" customFormat="1" ht="13" x14ac:dyDescent="0.3">
      <c r="A70" s="69"/>
      <c r="B70" s="41"/>
      <c r="C70" s="41"/>
      <c r="D70" s="41"/>
      <c r="E70" s="41"/>
      <c r="F70" s="41"/>
    </row>
    <row r="71" spans="1:8" s="67" customFormat="1" ht="13" x14ac:dyDescent="0.3">
      <c r="A71" s="12" t="s">
        <v>29</v>
      </c>
      <c r="B71" s="13" t="s">
        <v>45</v>
      </c>
      <c r="C71" s="13" t="s">
        <v>46</v>
      </c>
      <c r="D71" s="13" t="s">
        <v>47</v>
      </c>
      <c r="E71" s="13" t="s">
        <v>48</v>
      </c>
      <c r="F71" s="13" t="s">
        <v>20</v>
      </c>
    </row>
    <row r="72" spans="1:8" s="67" customFormat="1" ht="13" x14ac:dyDescent="0.3">
      <c r="A72" s="15" t="s">
        <v>189</v>
      </c>
      <c r="B72" s="16">
        <v>2427</v>
      </c>
      <c r="C72" s="16">
        <v>2834</v>
      </c>
      <c r="D72" s="16">
        <v>2822</v>
      </c>
      <c r="E72" s="16">
        <v>4826</v>
      </c>
      <c r="F72" s="16">
        <v>12909</v>
      </c>
      <c r="G72" s="68"/>
      <c r="H72" s="68"/>
    </row>
    <row r="73" spans="1:8" s="67" customFormat="1" ht="13" x14ac:dyDescent="0.3">
      <c r="A73" s="15" t="s">
        <v>190</v>
      </c>
      <c r="B73" s="16">
        <v>2266</v>
      </c>
      <c r="C73" s="16">
        <v>1697</v>
      </c>
      <c r="D73" s="16">
        <v>2619</v>
      </c>
      <c r="E73" s="16">
        <v>1642</v>
      </c>
      <c r="F73" s="16">
        <v>8224</v>
      </c>
      <c r="G73" s="68"/>
      <c r="H73" s="68"/>
    </row>
    <row r="74" spans="1:8" s="67" customFormat="1" ht="13" x14ac:dyDescent="0.3">
      <c r="A74" s="15" t="s">
        <v>191</v>
      </c>
      <c r="B74" s="16">
        <v>1131</v>
      </c>
      <c r="C74" s="16">
        <v>1263</v>
      </c>
      <c r="D74" s="16">
        <v>1818</v>
      </c>
      <c r="E74" s="16">
        <v>1591</v>
      </c>
      <c r="F74" s="16">
        <v>5803</v>
      </c>
      <c r="G74" s="68"/>
      <c r="H74" s="68"/>
    </row>
    <row r="75" spans="1:8" s="67" customFormat="1" ht="13" x14ac:dyDescent="0.3">
      <c r="A75" s="15" t="s">
        <v>192</v>
      </c>
      <c r="B75" s="16">
        <v>621</v>
      </c>
      <c r="C75" s="16">
        <v>879</v>
      </c>
      <c r="D75" s="16">
        <v>285</v>
      </c>
      <c r="E75" s="16">
        <v>548</v>
      </c>
      <c r="F75" s="16">
        <v>2333</v>
      </c>
      <c r="H75" s="68"/>
    </row>
    <row r="76" spans="1:8" s="67" customFormat="1" ht="13" x14ac:dyDescent="0.3">
      <c r="A76" s="15" t="s">
        <v>193</v>
      </c>
      <c r="B76" s="16">
        <v>1171</v>
      </c>
      <c r="C76" s="16">
        <v>1131</v>
      </c>
      <c r="D76" s="16">
        <v>1508</v>
      </c>
      <c r="E76" s="16">
        <v>947</v>
      </c>
      <c r="F76" s="16">
        <v>4757</v>
      </c>
      <c r="G76" s="68"/>
      <c r="H76" s="68"/>
    </row>
    <row r="77" spans="1:8" s="67" customFormat="1" ht="13" x14ac:dyDescent="0.3">
      <c r="A77" s="18" t="s">
        <v>32</v>
      </c>
      <c r="B77" s="20">
        <v>7616</v>
      </c>
      <c r="C77" s="20">
        <v>7804</v>
      </c>
      <c r="D77" s="20">
        <v>9052</v>
      </c>
      <c r="E77" s="20">
        <v>9554</v>
      </c>
      <c r="F77" s="20">
        <v>34026</v>
      </c>
      <c r="G77" s="68"/>
    </row>
    <row r="78" spans="1:8" s="67" customFormat="1" ht="13" x14ac:dyDescent="0.3">
      <c r="A78" s="69"/>
      <c r="B78" s="41"/>
      <c r="C78" s="41"/>
      <c r="D78" s="41"/>
      <c r="E78" s="41"/>
      <c r="F78" s="41"/>
    </row>
    <row r="79" spans="1:8" s="67" customFormat="1" ht="13" x14ac:dyDescent="0.3">
      <c r="A79" s="12" t="s">
        <v>33</v>
      </c>
      <c r="B79" s="13" t="s">
        <v>45</v>
      </c>
      <c r="C79" s="13" t="s">
        <v>46</v>
      </c>
      <c r="D79" s="13" t="s">
        <v>47</v>
      </c>
      <c r="E79" s="13" t="s">
        <v>48</v>
      </c>
      <c r="F79" s="13" t="s">
        <v>20</v>
      </c>
    </row>
    <row r="80" spans="1:8" s="67" customFormat="1" ht="13" x14ac:dyDescent="0.3">
      <c r="A80" s="15" t="s">
        <v>189</v>
      </c>
      <c r="B80" s="16">
        <v>3578</v>
      </c>
      <c r="C80" s="16">
        <v>2430</v>
      </c>
      <c r="D80" s="16">
        <v>1684</v>
      </c>
      <c r="E80" s="16">
        <v>2581</v>
      </c>
      <c r="F80" s="16">
        <v>10273</v>
      </c>
      <c r="G80" s="68"/>
      <c r="H80" s="68"/>
    </row>
    <row r="81" spans="1:8" s="67" customFormat="1" ht="13" x14ac:dyDescent="0.3">
      <c r="A81" s="15" t="s">
        <v>190</v>
      </c>
      <c r="B81" s="16">
        <v>2880</v>
      </c>
      <c r="C81" s="16">
        <v>1670</v>
      </c>
      <c r="D81" s="16">
        <v>2365</v>
      </c>
      <c r="E81" s="16">
        <v>3478</v>
      </c>
      <c r="F81" s="16">
        <v>10393</v>
      </c>
      <c r="G81" s="68"/>
      <c r="H81" s="68"/>
    </row>
    <row r="82" spans="1:8" s="67" customFormat="1" ht="13" x14ac:dyDescent="0.3">
      <c r="A82" s="15" t="s">
        <v>191</v>
      </c>
      <c r="B82" s="16">
        <v>961</v>
      </c>
      <c r="C82" s="16">
        <v>794</v>
      </c>
      <c r="D82" s="16">
        <v>770</v>
      </c>
      <c r="E82" s="16">
        <v>284</v>
      </c>
      <c r="F82" s="16">
        <v>2809</v>
      </c>
      <c r="G82" s="68"/>
      <c r="H82" s="68"/>
    </row>
    <row r="83" spans="1:8" s="67" customFormat="1" ht="13" x14ac:dyDescent="0.3">
      <c r="A83" s="15" t="s">
        <v>192</v>
      </c>
      <c r="B83" s="16">
        <v>104</v>
      </c>
      <c r="C83" s="16">
        <v>444</v>
      </c>
      <c r="D83" s="16">
        <v>167</v>
      </c>
      <c r="E83" s="16">
        <v>48</v>
      </c>
      <c r="F83" s="16">
        <v>763</v>
      </c>
      <c r="H83" s="68"/>
    </row>
    <row r="84" spans="1:8" s="67" customFormat="1" ht="13" x14ac:dyDescent="0.3">
      <c r="A84" s="15" t="s">
        <v>193</v>
      </c>
      <c r="B84" s="16">
        <v>704</v>
      </c>
      <c r="C84" s="16">
        <v>623</v>
      </c>
      <c r="D84" s="16">
        <v>618</v>
      </c>
      <c r="E84" s="16">
        <v>679</v>
      </c>
      <c r="F84" s="16">
        <v>2624</v>
      </c>
      <c r="G84" s="68"/>
      <c r="H84" s="68"/>
    </row>
    <row r="85" spans="1:8" s="67" customFormat="1" ht="13" x14ac:dyDescent="0.3">
      <c r="A85" s="18" t="s">
        <v>41</v>
      </c>
      <c r="B85" s="20">
        <v>8227</v>
      </c>
      <c r="C85" s="20">
        <v>5961</v>
      </c>
      <c r="D85" s="20">
        <v>5604</v>
      </c>
      <c r="E85" s="20">
        <v>7070</v>
      </c>
      <c r="F85" s="20">
        <v>26862</v>
      </c>
      <c r="G85" s="68"/>
    </row>
    <row r="86" spans="1:8" s="67" customFormat="1" ht="13" x14ac:dyDescent="0.3">
      <c r="A86" s="69"/>
      <c r="B86" s="41"/>
      <c r="C86" s="41"/>
      <c r="D86" s="41"/>
      <c r="E86" s="41"/>
      <c r="F86" s="41"/>
    </row>
    <row r="87" spans="1:8" s="67" customFormat="1" ht="13" x14ac:dyDescent="0.3">
      <c r="A87" s="12" t="s">
        <v>195</v>
      </c>
      <c r="B87" s="13" t="s">
        <v>45</v>
      </c>
      <c r="C87" s="13" t="s">
        <v>46</v>
      </c>
      <c r="D87" s="13" t="s">
        <v>47</v>
      </c>
      <c r="E87" s="13" t="s">
        <v>48</v>
      </c>
      <c r="F87" s="13" t="s">
        <v>20</v>
      </c>
    </row>
    <row r="88" spans="1:8" s="67" customFormat="1" ht="13" x14ac:dyDescent="0.3">
      <c r="A88" s="15" t="s">
        <v>189</v>
      </c>
      <c r="B88" s="16">
        <v>23181</v>
      </c>
      <c r="C88" s="16">
        <v>13659</v>
      </c>
      <c r="D88" s="16">
        <v>17603</v>
      </c>
      <c r="E88" s="16">
        <v>27989</v>
      </c>
      <c r="F88" s="16">
        <v>82432</v>
      </c>
    </row>
    <row r="89" spans="1:8" s="67" customFormat="1" ht="13" x14ac:dyDescent="0.3">
      <c r="A89" s="15" t="s">
        <v>190</v>
      </c>
      <c r="B89" s="16">
        <v>31045</v>
      </c>
      <c r="C89" s="16">
        <v>25083</v>
      </c>
      <c r="D89" s="16">
        <v>38096</v>
      </c>
      <c r="E89" s="16">
        <v>34764</v>
      </c>
      <c r="F89" s="16">
        <v>128988</v>
      </c>
    </row>
    <row r="90" spans="1:8" s="67" customFormat="1" ht="13" x14ac:dyDescent="0.3">
      <c r="A90" s="15" t="s">
        <v>191</v>
      </c>
      <c r="B90" s="16">
        <v>16479</v>
      </c>
      <c r="C90" s="16">
        <v>12661</v>
      </c>
      <c r="D90" s="16">
        <v>21600</v>
      </c>
      <c r="E90" s="16">
        <v>21006</v>
      </c>
      <c r="F90" s="16">
        <v>71746</v>
      </c>
    </row>
    <row r="91" spans="1:8" s="67" customFormat="1" ht="13" x14ac:dyDescent="0.3">
      <c r="A91" s="15" t="s">
        <v>192</v>
      </c>
      <c r="B91" s="16">
        <v>11609</v>
      </c>
      <c r="C91" s="16">
        <v>17145</v>
      </c>
      <c r="D91" s="16">
        <v>9257</v>
      </c>
      <c r="E91" s="16">
        <v>9175</v>
      </c>
      <c r="F91" s="16">
        <v>47186</v>
      </c>
    </row>
    <row r="92" spans="1:8" s="67" customFormat="1" ht="13" x14ac:dyDescent="0.3">
      <c r="A92" s="15" t="s">
        <v>193</v>
      </c>
      <c r="B92" s="16">
        <v>15441</v>
      </c>
      <c r="C92" s="16">
        <v>18755</v>
      </c>
      <c r="D92" s="16">
        <v>17871</v>
      </c>
      <c r="E92" s="16">
        <v>18479</v>
      </c>
      <c r="F92" s="16">
        <v>70546</v>
      </c>
    </row>
    <row r="93" spans="1:8" s="67" customFormat="1" ht="13" x14ac:dyDescent="0.3">
      <c r="A93" s="18" t="s">
        <v>196</v>
      </c>
      <c r="B93" s="70">
        <v>97755</v>
      </c>
      <c r="C93" s="70">
        <v>87303</v>
      </c>
      <c r="D93" s="70">
        <v>104427</v>
      </c>
      <c r="E93" s="70">
        <v>111413</v>
      </c>
      <c r="F93" s="70">
        <v>400898</v>
      </c>
      <c r="G93" s="71"/>
    </row>
    <row r="94" spans="1:8" x14ac:dyDescent="0.3">
      <c r="A94" s="23" t="s">
        <v>43</v>
      </c>
      <c r="C94" s="72"/>
    </row>
    <row r="95" spans="1:8" s="42" customFormat="1" x14ac:dyDescent="0.3">
      <c r="A95" s="73"/>
      <c r="B95" s="74"/>
      <c r="C95" s="74"/>
      <c r="D95" s="74"/>
      <c r="E95" s="74"/>
      <c r="F95" s="74"/>
    </row>
    <row r="96" spans="1:8" s="77" customFormat="1" ht="6" customHeight="1" x14ac:dyDescent="0.3">
      <c r="A96" s="75"/>
      <c r="B96" s="76"/>
      <c r="C96" s="76"/>
      <c r="D96" s="76"/>
      <c r="E96" s="76"/>
      <c r="F96" s="76"/>
    </row>
    <row r="97" spans="1:8" s="52" customFormat="1" ht="13" x14ac:dyDescent="0.3">
      <c r="A97" s="66"/>
    </row>
    <row r="98" spans="1:8" s="67" customFormat="1" ht="13" x14ac:dyDescent="0.3">
      <c r="A98" s="11" t="s">
        <v>49</v>
      </c>
      <c r="B98" s="41"/>
      <c r="C98" s="41"/>
      <c r="D98" s="41"/>
      <c r="E98" s="52"/>
      <c r="F98" s="52"/>
    </row>
    <row r="99" spans="1:8" s="67" customFormat="1" ht="13" x14ac:dyDescent="0.3">
      <c r="A99" s="29"/>
      <c r="B99" s="41"/>
      <c r="C99" s="41"/>
      <c r="D99" s="41"/>
      <c r="E99" s="52"/>
      <c r="F99" s="52"/>
    </row>
    <row r="100" spans="1:8" s="67" customFormat="1" ht="13" x14ac:dyDescent="0.3">
      <c r="A100" s="12" t="s">
        <v>33</v>
      </c>
      <c r="B100" s="13" t="s">
        <v>51</v>
      </c>
      <c r="C100" s="13" t="s">
        <v>52</v>
      </c>
      <c r="D100" s="13" t="s">
        <v>53</v>
      </c>
      <c r="E100" s="13" t="s">
        <v>54</v>
      </c>
      <c r="F100" s="13" t="s">
        <v>20</v>
      </c>
    </row>
    <row r="101" spans="1:8" s="67" customFormat="1" ht="13" x14ac:dyDescent="0.3">
      <c r="A101" s="15" t="s">
        <v>189</v>
      </c>
      <c r="B101" s="16">
        <v>3590</v>
      </c>
      <c r="C101" s="16">
        <v>3732</v>
      </c>
      <c r="D101" s="16">
        <v>5215</v>
      </c>
      <c r="E101" s="16">
        <v>6566</v>
      </c>
      <c r="F101" s="16">
        <v>19103</v>
      </c>
      <c r="G101" s="68"/>
      <c r="H101" s="68"/>
    </row>
    <row r="102" spans="1:8" s="67" customFormat="1" ht="13" x14ac:dyDescent="0.3">
      <c r="A102" s="15" t="s">
        <v>190</v>
      </c>
      <c r="B102" s="16">
        <v>1992</v>
      </c>
      <c r="C102" s="16">
        <v>3858</v>
      </c>
      <c r="D102" s="16">
        <v>3272</v>
      </c>
      <c r="E102" s="16">
        <v>3315</v>
      </c>
      <c r="F102" s="16">
        <v>12437</v>
      </c>
      <c r="G102" s="68"/>
      <c r="H102" s="68"/>
    </row>
    <row r="103" spans="1:8" s="67" customFormat="1" ht="13" x14ac:dyDescent="0.3">
      <c r="A103" s="15" t="s">
        <v>191</v>
      </c>
      <c r="B103" s="16">
        <v>3456</v>
      </c>
      <c r="C103" s="16">
        <v>3582</v>
      </c>
      <c r="D103" s="16">
        <v>1668</v>
      </c>
      <c r="E103" s="16">
        <v>1815</v>
      </c>
      <c r="F103" s="16">
        <v>10521</v>
      </c>
      <c r="G103" s="68"/>
      <c r="H103" s="68"/>
    </row>
    <row r="104" spans="1:8" s="67" customFormat="1" ht="13" x14ac:dyDescent="0.3">
      <c r="A104" s="15" t="s">
        <v>197</v>
      </c>
      <c r="B104" s="16">
        <v>218</v>
      </c>
      <c r="C104" s="16">
        <v>1127</v>
      </c>
      <c r="D104" s="16">
        <v>789</v>
      </c>
      <c r="E104" s="16">
        <v>750</v>
      </c>
      <c r="F104" s="16">
        <v>2884</v>
      </c>
      <c r="H104" s="68"/>
    </row>
    <row r="105" spans="1:8" s="67" customFormat="1" ht="13" x14ac:dyDescent="0.3">
      <c r="A105" s="15" t="s">
        <v>193</v>
      </c>
      <c r="B105" s="16">
        <v>1068</v>
      </c>
      <c r="C105" s="16">
        <v>1261</v>
      </c>
      <c r="D105" s="16">
        <v>1205</v>
      </c>
      <c r="E105" s="16">
        <v>1082</v>
      </c>
      <c r="F105" s="16">
        <v>4616</v>
      </c>
      <c r="G105" s="68"/>
      <c r="H105" s="68"/>
    </row>
    <row r="106" spans="1:8" s="67" customFormat="1" ht="13" x14ac:dyDescent="0.3">
      <c r="A106" s="18" t="s">
        <v>41</v>
      </c>
      <c r="B106" s="20">
        <v>10324</v>
      </c>
      <c r="C106" s="20">
        <v>13560</v>
      </c>
      <c r="D106" s="20">
        <v>12149</v>
      </c>
      <c r="E106" s="20">
        <v>13528</v>
      </c>
      <c r="F106" s="20">
        <v>49561</v>
      </c>
      <c r="G106" s="68"/>
    </row>
    <row r="107" spans="1:8" s="67" customFormat="1" ht="13" x14ac:dyDescent="0.3">
      <c r="A107" s="69"/>
      <c r="B107" s="41"/>
      <c r="C107" s="41"/>
      <c r="D107" s="41"/>
      <c r="E107" s="41"/>
      <c r="F107" s="41"/>
    </row>
    <row r="108" spans="1:8" s="67" customFormat="1" ht="13" x14ac:dyDescent="0.3">
      <c r="A108" s="12" t="s">
        <v>72</v>
      </c>
      <c r="B108" s="13" t="s">
        <v>51</v>
      </c>
      <c r="C108" s="13" t="s">
        <v>52</v>
      </c>
      <c r="D108" s="13" t="s">
        <v>53</v>
      </c>
      <c r="E108" s="13" t="s">
        <v>54</v>
      </c>
      <c r="F108" s="13" t="s">
        <v>20</v>
      </c>
    </row>
    <row r="109" spans="1:8" s="67" customFormat="1" ht="13" x14ac:dyDescent="0.3">
      <c r="A109" s="15" t="s">
        <v>189</v>
      </c>
      <c r="B109" s="16">
        <v>13361</v>
      </c>
      <c r="C109" s="16">
        <v>12760</v>
      </c>
      <c r="D109" s="16">
        <v>15948</v>
      </c>
      <c r="E109" s="16">
        <v>21203</v>
      </c>
      <c r="F109" s="16">
        <v>63272</v>
      </c>
      <c r="G109" s="68"/>
      <c r="H109" s="68"/>
    </row>
    <row r="110" spans="1:8" s="67" customFormat="1" ht="13" x14ac:dyDescent="0.3">
      <c r="A110" s="15" t="s">
        <v>190</v>
      </c>
      <c r="B110" s="16">
        <v>20414</v>
      </c>
      <c r="C110" s="16">
        <v>22466</v>
      </c>
      <c r="D110" s="16">
        <v>23236</v>
      </c>
      <c r="E110" s="16">
        <v>27070</v>
      </c>
      <c r="F110" s="16">
        <v>93186</v>
      </c>
      <c r="G110" s="68"/>
      <c r="H110" s="68"/>
    </row>
    <row r="111" spans="1:8" s="67" customFormat="1" ht="13" x14ac:dyDescent="0.3">
      <c r="A111" s="15" t="s">
        <v>191</v>
      </c>
      <c r="B111" s="16">
        <v>16953</v>
      </c>
      <c r="C111" s="16">
        <v>17538</v>
      </c>
      <c r="D111" s="16">
        <v>18700</v>
      </c>
      <c r="E111" s="16">
        <v>17125</v>
      </c>
      <c r="F111" s="16">
        <v>70316</v>
      </c>
      <c r="G111" s="68"/>
      <c r="H111" s="68"/>
    </row>
    <row r="112" spans="1:8" s="67" customFormat="1" ht="13" x14ac:dyDescent="0.3">
      <c r="A112" s="15" t="s">
        <v>197</v>
      </c>
      <c r="B112" s="16">
        <v>11228</v>
      </c>
      <c r="C112" s="16">
        <v>12025</v>
      </c>
      <c r="D112" s="16">
        <v>14167</v>
      </c>
      <c r="E112" s="16">
        <v>12249</v>
      </c>
      <c r="F112" s="16">
        <v>49669</v>
      </c>
      <c r="G112" s="68"/>
      <c r="H112" s="68"/>
    </row>
    <row r="113" spans="1:8" s="67" customFormat="1" ht="13" x14ac:dyDescent="0.3">
      <c r="A113" s="15" t="s">
        <v>193</v>
      </c>
      <c r="B113" s="16">
        <v>20973</v>
      </c>
      <c r="C113" s="16">
        <v>18468</v>
      </c>
      <c r="D113" s="16">
        <v>16843</v>
      </c>
      <c r="E113" s="16">
        <v>19015</v>
      </c>
      <c r="F113" s="16">
        <v>75299</v>
      </c>
      <c r="G113" s="68"/>
      <c r="H113" s="68"/>
    </row>
    <row r="114" spans="1:8" s="67" customFormat="1" ht="13" x14ac:dyDescent="0.3">
      <c r="A114" s="18" t="s">
        <v>65</v>
      </c>
      <c r="B114" s="20">
        <v>82929</v>
      </c>
      <c r="C114" s="20">
        <v>83257</v>
      </c>
      <c r="D114" s="20">
        <v>88894</v>
      </c>
      <c r="E114" s="20">
        <v>96662</v>
      </c>
      <c r="F114" s="20">
        <v>351742</v>
      </c>
    </row>
    <row r="115" spans="1:8" s="67" customFormat="1" ht="13" x14ac:dyDescent="0.3">
      <c r="A115" s="69"/>
      <c r="B115" s="41"/>
      <c r="C115" s="41"/>
      <c r="D115" s="41"/>
      <c r="E115" s="41"/>
      <c r="F115" s="41"/>
    </row>
    <row r="116" spans="1:8" s="67" customFormat="1" ht="13" x14ac:dyDescent="0.3">
      <c r="A116" s="12" t="s">
        <v>195</v>
      </c>
      <c r="B116" s="13" t="s">
        <v>51</v>
      </c>
      <c r="C116" s="13" t="s">
        <v>52</v>
      </c>
      <c r="D116" s="13" t="s">
        <v>53</v>
      </c>
      <c r="E116" s="13" t="s">
        <v>54</v>
      </c>
      <c r="F116" s="13" t="s">
        <v>20</v>
      </c>
    </row>
    <row r="117" spans="1:8" s="67" customFormat="1" ht="13" x14ac:dyDescent="0.3">
      <c r="A117" s="15" t="s">
        <v>189</v>
      </c>
      <c r="B117" s="79">
        <v>16951</v>
      </c>
      <c r="C117" s="79">
        <v>16492</v>
      </c>
      <c r="D117" s="79">
        <v>21163</v>
      </c>
      <c r="E117" s="79">
        <v>27769</v>
      </c>
      <c r="F117" s="79">
        <v>82375</v>
      </c>
    </row>
    <row r="118" spans="1:8" s="67" customFormat="1" ht="13" x14ac:dyDescent="0.3">
      <c r="A118" s="15" t="s">
        <v>190</v>
      </c>
      <c r="B118" s="79">
        <v>22406</v>
      </c>
      <c r="C118" s="79">
        <v>26324</v>
      </c>
      <c r="D118" s="79">
        <v>26508</v>
      </c>
      <c r="E118" s="79">
        <v>30385</v>
      </c>
      <c r="F118" s="79">
        <v>105623</v>
      </c>
    </row>
    <row r="119" spans="1:8" s="67" customFormat="1" ht="13" x14ac:dyDescent="0.3">
      <c r="A119" s="15" t="s">
        <v>191</v>
      </c>
      <c r="B119" s="79">
        <v>20409</v>
      </c>
      <c r="C119" s="79">
        <v>21120</v>
      </c>
      <c r="D119" s="79">
        <v>20368</v>
      </c>
      <c r="E119" s="79">
        <v>18940</v>
      </c>
      <c r="F119" s="79">
        <v>80837</v>
      </c>
    </row>
    <row r="120" spans="1:8" s="67" customFormat="1" ht="13" x14ac:dyDescent="0.3">
      <c r="A120" s="15" t="s">
        <v>197</v>
      </c>
      <c r="B120" s="79">
        <v>11446</v>
      </c>
      <c r="C120" s="79">
        <v>13152</v>
      </c>
      <c r="D120" s="79">
        <v>14956</v>
      </c>
      <c r="E120" s="79">
        <v>12999</v>
      </c>
      <c r="F120" s="79">
        <v>52553</v>
      </c>
    </row>
    <row r="121" spans="1:8" s="67" customFormat="1" ht="13" x14ac:dyDescent="0.3">
      <c r="A121" s="15" t="s">
        <v>193</v>
      </c>
      <c r="B121" s="79">
        <v>22041</v>
      </c>
      <c r="C121" s="79">
        <v>19729</v>
      </c>
      <c r="D121" s="79">
        <v>18048</v>
      </c>
      <c r="E121" s="79">
        <v>20097</v>
      </c>
      <c r="F121" s="79">
        <v>79915</v>
      </c>
    </row>
    <row r="122" spans="1:8" s="67" customFormat="1" ht="13" x14ac:dyDescent="0.3">
      <c r="A122" s="18" t="s">
        <v>196</v>
      </c>
      <c r="B122" s="70">
        <v>93253</v>
      </c>
      <c r="C122" s="70">
        <v>96817</v>
      </c>
      <c r="D122" s="70">
        <v>101043</v>
      </c>
      <c r="E122" s="70">
        <v>110190</v>
      </c>
      <c r="F122" s="70">
        <v>401303</v>
      </c>
      <c r="G122" s="71"/>
    </row>
    <row r="123" spans="1:8" x14ac:dyDescent="0.3">
      <c r="A123" s="23" t="s">
        <v>43</v>
      </c>
      <c r="C123" s="72"/>
    </row>
    <row r="124" spans="1:8" s="42" customFormat="1" x14ac:dyDescent="0.3">
      <c r="A124" s="73"/>
      <c r="B124" s="74"/>
      <c r="C124" s="74"/>
      <c r="D124" s="74"/>
      <c r="E124" s="74"/>
      <c r="F124" s="74"/>
    </row>
    <row r="125" spans="1:8" s="77" customFormat="1" ht="6" customHeight="1" x14ac:dyDescent="0.3">
      <c r="A125" s="75"/>
      <c r="B125" s="76"/>
      <c r="C125" s="76"/>
      <c r="D125" s="76"/>
      <c r="E125" s="76"/>
      <c r="F125" s="76"/>
    </row>
    <row r="127" spans="1:8" x14ac:dyDescent="0.3">
      <c r="A127" s="47" t="s">
        <v>188</v>
      </c>
    </row>
    <row r="128" spans="1:8" x14ac:dyDescent="0.3">
      <c r="A128" s="80"/>
    </row>
    <row r="129" spans="1:9" s="42" customFormat="1" x14ac:dyDescent="0.3">
      <c r="A129" s="11" t="s">
        <v>66</v>
      </c>
      <c r="B129" s="41"/>
      <c r="C129" s="41"/>
      <c r="D129" s="41"/>
      <c r="E129" s="41"/>
      <c r="F129" s="41"/>
    </row>
    <row r="130" spans="1:9" s="42" customFormat="1" x14ac:dyDescent="0.3">
      <c r="A130" s="29"/>
      <c r="B130" s="41"/>
      <c r="C130" s="41"/>
      <c r="D130" s="41"/>
      <c r="E130" s="41"/>
      <c r="F130" s="41"/>
    </row>
    <row r="131" spans="1:9" s="42" customFormat="1" x14ac:dyDescent="0.3">
      <c r="A131" s="12" t="s">
        <v>33</v>
      </c>
      <c r="B131" s="30" t="s">
        <v>67</v>
      </c>
      <c r="C131" s="30" t="s">
        <v>68</v>
      </c>
      <c r="D131" s="30" t="s">
        <v>69</v>
      </c>
      <c r="E131" s="30" t="s">
        <v>70</v>
      </c>
      <c r="F131" s="30" t="s">
        <v>20</v>
      </c>
    </row>
    <row r="132" spans="1:9" s="42" customFormat="1" x14ac:dyDescent="0.3">
      <c r="A132" s="15" t="s">
        <v>189</v>
      </c>
      <c r="B132" s="16">
        <v>3363</v>
      </c>
      <c r="C132" s="16">
        <v>2401</v>
      </c>
      <c r="D132" s="16">
        <v>2591</v>
      </c>
      <c r="E132" s="81">
        <v>2884</v>
      </c>
      <c r="F132" s="16">
        <f>B132+C132+D132+E132</f>
        <v>11239</v>
      </c>
      <c r="I132" s="82"/>
    </row>
    <row r="133" spans="1:9" s="42" customFormat="1" x14ac:dyDescent="0.3">
      <c r="A133" s="15" t="s">
        <v>190</v>
      </c>
      <c r="B133" s="16">
        <v>1954</v>
      </c>
      <c r="C133" s="16">
        <v>4375</v>
      </c>
      <c r="D133" s="16">
        <v>3384</v>
      </c>
      <c r="E133" s="81">
        <v>2217</v>
      </c>
      <c r="F133" s="16">
        <f>B133+C133+D133+E133</f>
        <v>11930</v>
      </c>
      <c r="I133" s="82"/>
    </row>
    <row r="134" spans="1:9" s="42" customFormat="1" x14ac:dyDescent="0.3">
      <c r="A134" s="15" t="s">
        <v>191</v>
      </c>
      <c r="B134" s="16">
        <v>3912</v>
      </c>
      <c r="C134" s="16">
        <v>2923</v>
      </c>
      <c r="D134" s="16">
        <v>2483</v>
      </c>
      <c r="E134" s="81">
        <v>3032</v>
      </c>
      <c r="F134" s="16">
        <f>B134+C134+D134+E134</f>
        <v>12350</v>
      </c>
      <c r="G134" s="82"/>
    </row>
    <row r="135" spans="1:9" s="42" customFormat="1" x14ac:dyDescent="0.3">
      <c r="A135" s="15" t="s">
        <v>198</v>
      </c>
      <c r="B135" s="16">
        <f>3669+385</f>
        <v>4054</v>
      </c>
      <c r="C135" s="16">
        <f>1164+4616</f>
        <v>5780</v>
      </c>
      <c r="D135" s="16">
        <v>6680</v>
      </c>
      <c r="E135" s="16">
        <f>390+5751</f>
        <v>6141</v>
      </c>
      <c r="F135" s="16">
        <f>B135+C135+D135+E135</f>
        <v>22655</v>
      </c>
      <c r="G135" s="82"/>
      <c r="H135" s="82"/>
    </row>
    <row r="136" spans="1:9" s="42" customFormat="1" x14ac:dyDescent="0.3">
      <c r="A136" s="15" t="s">
        <v>193</v>
      </c>
      <c r="B136" s="16">
        <v>1313</v>
      </c>
      <c r="C136" s="16">
        <v>1152</v>
      </c>
      <c r="D136" s="16">
        <v>1137</v>
      </c>
      <c r="E136" s="16">
        <f>1223+2</f>
        <v>1225</v>
      </c>
      <c r="F136" s="16">
        <f>B136+C136+D136+E136</f>
        <v>4827</v>
      </c>
      <c r="G136" s="82"/>
    </row>
    <row r="137" spans="1:9" s="42" customFormat="1" x14ac:dyDescent="0.3">
      <c r="A137" s="18" t="s">
        <v>41</v>
      </c>
      <c r="B137" s="20">
        <f>SUM(B132:B136)</f>
        <v>14596</v>
      </c>
      <c r="C137" s="20">
        <f>SUM(C132:C136)</f>
        <v>16631</v>
      </c>
      <c r="D137" s="20">
        <f>SUM(D132:D136)</f>
        <v>16275</v>
      </c>
      <c r="E137" s="20">
        <f>SUM(E132:E136)</f>
        <v>15499</v>
      </c>
      <c r="F137" s="20">
        <f>SUM(F132:F136)</f>
        <v>63001</v>
      </c>
      <c r="H137" s="82"/>
      <c r="I137" s="82"/>
    </row>
    <row r="138" spans="1:9" s="42" customFormat="1" x14ac:dyDescent="0.3">
      <c r="A138" s="69"/>
      <c r="B138" s="41"/>
      <c r="C138" s="41"/>
      <c r="D138" s="41"/>
      <c r="E138" s="41"/>
      <c r="F138" s="41"/>
    </row>
    <row r="139" spans="1:9" s="42" customFormat="1" x14ac:dyDescent="0.3">
      <c r="A139" s="12" t="s">
        <v>72</v>
      </c>
      <c r="B139" s="13" t="str">
        <f>B131</f>
        <v>Q1 FY 23</v>
      </c>
      <c r="C139" s="13" t="str">
        <f>C131</f>
        <v>Q2 FY 23</v>
      </c>
      <c r="D139" s="13" t="str">
        <f>D131</f>
        <v>Q3 FY 23</v>
      </c>
      <c r="E139" s="13" t="str">
        <f>E131</f>
        <v>Q4 FY 23</v>
      </c>
      <c r="F139" s="13" t="str">
        <f>F131</f>
        <v>YTD</v>
      </c>
    </row>
    <row r="140" spans="1:9" s="42" customFormat="1" x14ac:dyDescent="0.3">
      <c r="A140" s="15" t="s">
        <v>189</v>
      </c>
      <c r="B140" s="16">
        <v>12880</v>
      </c>
      <c r="C140" s="16">
        <v>9582</v>
      </c>
      <c r="D140" s="16">
        <v>11004</v>
      </c>
      <c r="E140" s="16">
        <f>17388+49</f>
        <v>17437</v>
      </c>
      <c r="F140" s="16">
        <f>B140+C140+D140+E140</f>
        <v>50903</v>
      </c>
      <c r="I140" s="82"/>
    </row>
    <row r="141" spans="1:9" s="42" customFormat="1" x14ac:dyDescent="0.3">
      <c r="A141" s="15" t="s">
        <v>190</v>
      </c>
      <c r="B141" s="16">
        <v>11670</v>
      </c>
      <c r="C141" s="16">
        <v>18111</v>
      </c>
      <c r="D141" s="16">
        <v>22839</v>
      </c>
      <c r="E141" s="16">
        <v>17079</v>
      </c>
      <c r="F141" s="16">
        <f>B141+C141+D141+E141</f>
        <v>69699</v>
      </c>
      <c r="I141" s="82"/>
    </row>
    <row r="142" spans="1:9" s="42" customFormat="1" x14ac:dyDescent="0.3">
      <c r="A142" s="15" t="s">
        <v>191</v>
      </c>
      <c r="B142" s="16">
        <v>17527</v>
      </c>
      <c r="C142" s="16">
        <v>12809</v>
      </c>
      <c r="D142" s="16">
        <v>12713</v>
      </c>
      <c r="E142" s="16">
        <f>18883+67</f>
        <v>18950</v>
      </c>
      <c r="F142" s="16">
        <f>B142+C142+D142+E142</f>
        <v>61999</v>
      </c>
      <c r="G142" s="82"/>
      <c r="H142" s="82"/>
    </row>
    <row r="143" spans="1:9" s="42" customFormat="1" x14ac:dyDescent="0.3">
      <c r="A143" s="15" t="s">
        <v>198</v>
      </c>
      <c r="B143" s="16">
        <f>7103+7683</f>
        <v>14786</v>
      </c>
      <c r="C143" s="16">
        <f>12092+9976</f>
        <v>22068</v>
      </c>
      <c r="D143" s="16">
        <v>17661</v>
      </c>
      <c r="E143" s="16">
        <f>11617+6986</f>
        <v>18603</v>
      </c>
      <c r="F143" s="16">
        <f>B143+C143+D143+E143</f>
        <v>73118</v>
      </c>
      <c r="G143" s="82"/>
    </row>
    <row r="144" spans="1:9" s="42" customFormat="1" x14ac:dyDescent="0.3">
      <c r="A144" s="15" t="s">
        <v>193</v>
      </c>
      <c r="B144" s="16">
        <v>11128</v>
      </c>
      <c r="C144" s="16">
        <v>10698</v>
      </c>
      <c r="D144" s="16">
        <v>11853</v>
      </c>
      <c r="E144" s="16">
        <f>19778+40</f>
        <v>19818</v>
      </c>
      <c r="F144" s="16">
        <f>B144+C144+D144+E144</f>
        <v>53497</v>
      </c>
      <c r="G144" s="82"/>
    </row>
    <row r="145" spans="1:9" s="42" customFormat="1" x14ac:dyDescent="0.3">
      <c r="A145" s="18" t="s">
        <v>65</v>
      </c>
      <c r="B145" s="20">
        <f>SUM(B140:B144)</f>
        <v>67991</v>
      </c>
      <c r="C145" s="20">
        <f>SUM(C140:C144)</f>
        <v>73268</v>
      </c>
      <c r="D145" s="20">
        <f>SUM(D140:D144)</f>
        <v>76070</v>
      </c>
      <c r="E145" s="20">
        <f>SUM(E140:E144)</f>
        <v>91887</v>
      </c>
      <c r="F145" s="20">
        <f>SUM(F140:F144)</f>
        <v>309216</v>
      </c>
      <c r="G145" s="82"/>
      <c r="H145" s="82"/>
      <c r="I145" s="82"/>
    </row>
    <row r="146" spans="1:9" s="42" customFormat="1" x14ac:dyDescent="0.3">
      <c r="A146" s="69"/>
      <c r="B146" s="41"/>
      <c r="C146" s="41"/>
      <c r="D146" s="41"/>
      <c r="E146" s="41"/>
      <c r="F146" s="41"/>
    </row>
    <row r="147" spans="1:9" s="42" customFormat="1" x14ac:dyDescent="0.3">
      <c r="A147" s="12" t="s">
        <v>195</v>
      </c>
      <c r="B147" s="13" t="str">
        <f>B139</f>
        <v>Q1 FY 23</v>
      </c>
      <c r="C147" s="13" t="str">
        <f>C139</f>
        <v>Q2 FY 23</v>
      </c>
      <c r="D147" s="13" t="str">
        <f>D139</f>
        <v>Q3 FY 23</v>
      </c>
      <c r="E147" s="13" t="str">
        <f>E139</f>
        <v>Q4 FY 23</v>
      </c>
      <c r="F147" s="13" t="str">
        <f>F139</f>
        <v>YTD</v>
      </c>
    </row>
    <row r="148" spans="1:9" s="42" customFormat="1" x14ac:dyDescent="0.3">
      <c r="A148" s="15" t="s">
        <v>189</v>
      </c>
      <c r="B148" s="16">
        <f t="shared" ref="B148:E152" si="10">B132+B140</f>
        <v>16243</v>
      </c>
      <c r="C148" s="16">
        <f t="shared" si="10"/>
        <v>11983</v>
      </c>
      <c r="D148" s="16">
        <v>13595</v>
      </c>
      <c r="E148" s="16">
        <f t="shared" si="10"/>
        <v>20321</v>
      </c>
      <c r="F148" s="16">
        <f>F140+F132</f>
        <v>62142</v>
      </c>
    </row>
    <row r="149" spans="1:9" s="42" customFormat="1" x14ac:dyDescent="0.3">
      <c r="A149" s="15" t="s">
        <v>190</v>
      </c>
      <c r="B149" s="16">
        <f t="shared" si="10"/>
        <v>13624</v>
      </c>
      <c r="C149" s="16">
        <f t="shared" si="10"/>
        <v>22486</v>
      </c>
      <c r="D149" s="16">
        <v>26223</v>
      </c>
      <c r="E149" s="16">
        <f t="shared" si="10"/>
        <v>19296</v>
      </c>
      <c r="F149" s="16">
        <f t="shared" ref="F149:F153" si="11">F141+F133</f>
        <v>81629</v>
      </c>
    </row>
    <row r="150" spans="1:9" s="42" customFormat="1" x14ac:dyDescent="0.3">
      <c r="A150" s="15" t="s">
        <v>191</v>
      </c>
      <c r="B150" s="16">
        <f t="shared" si="10"/>
        <v>21439</v>
      </c>
      <c r="C150" s="16">
        <f t="shared" si="10"/>
        <v>15732</v>
      </c>
      <c r="D150" s="16">
        <v>15196</v>
      </c>
      <c r="E150" s="16">
        <f t="shared" si="10"/>
        <v>21982</v>
      </c>
      <c r="F150" s="16">
        <f t="shared" si="11"/>
        <v>74349</v>
      </c>
    </row>
    <row r="151" spans="1:9" s="42" customFormat="1" x14ac:dyDescent="0.3">
      <c r="A151" s="15" t="s">
        <v>198</v>
      </c>
      <c r="B151" s="16">
        <f t="shared" si="10"/>
        <v>18840</v>
      </c>
      <c r="C151" s="16">
        <f t="shared" si="10"/>
        <v>27848</v>
      </c>
      <c r="D151" s="16">
        <v>24341</v>
      </c>
      <c r="E151" s="16">
        <f t="shared" si="10"/>
        <v>24744</v>
      </c>
      <c r="F151" s="16">
        <f t="shared" si="11"/>
        <v>95773</v>
      </c>
      <c r="G151" s="82"/>
      <c r="H151" s="82"/>
    </row>
    <row r="152" spans="1:9" s="42" customFormat="1" x14ac:dyDescent="0.3">
      <c r="A152" s="15" t="s">
        <v>193</v>
      </c>
      <c r="B152" s="16">
        <f t="shared" si="10"/>
        <v>12441</v>
      </c>
      <c r="C152" s="16">
        <f t="shared" si="10"/>
        <v>11850</v>
      </c>
      <c r="D152" s="16">
        <v>12990</v>
      </c>
      <c r="E152" s="16">
        <f t="shared" si="10"/>
        <v>21043</v>
      </c>
      <c r="F152" s="16">
        <f t="shared" si="11"/>
        <v>58324</v>
      </c>
    </row>
    <row r="153" spans="1:9" s="42" customFormat="1" x14ac:dyDescent="0.3">
      <c r="A153" s="18" t="s">
        <v>196</v>
      </c>
      <c r="B153" s="83">
        <f>B145+B137</f>
        <v>82587</v>
      </c>
      <c r="C153" s="83">
        <f>C145+C137</f>
        <v>89899</v>
      </c>
      <c r="D153" s="83">
        <f>D145+D137</f>
        <v>92345</v>
      </c>
      <c r="E153" s="83">
        <f>E145+E137</f>
        <v>107386</v>
      </c>
      <c r="F153" s="83">
        <f t="shared" si="11"/>
        <v>372217</v>
      </c>
      <c r="H153" s="84"/>
      <c r="I153" s="85"/>
    </row>
    <row r="154" spans="1:9" x14ac:dyDescent="0.3">
      <c r="C154" s="72"/>
    </row>
    <row r="155" spans="1:9" s="42" customFormat="1" x14ac:dyDescent="0.3">
      <c r="A155" s="86" t="s">
        <v>199</v>
      </c>
      <c r="B155" s="39">
        <v>10772</v>
      </c>
      <c r="C155" s="39">
        <f>9976+4616</f>
        <v>14592</v>
      </c>
      <c r="D155" s="39">
        <v>12754</v>
      </c>
      <c r="E155" s="39">
        <v>12667</v>
      </c>
      <c r="F155" s="39">
        <f>SUM(B155:E155)</f>
        <v>50785</v>
      </c>
      <c r="G155" s="84"/>
    </row>
    <row r="156" spans="1:9" s="42" customFormat="1" x14ac:dyDescent="0.3">
      <c r="A156" s="73"/>
      <c r="B156" s="74"/>
      <c r="C156" s="74"/>
      <c r="D156" s="74"/>
      <c r="E156" s="74"/>
      <c r="F156" s="74"/>
    </row>
    <row r="157" spans="1:9" s="77" customFormat="1" ht="6" customHeight="1" x14ac:dyDescent="0.3">
      <c r="A157" s="75"/>
      <c r="B157" s="76"/>
      <c r="C157" s="76"/>
      <c r="D157" s="76"/>
      <c r="E157" s="76"/>
      <c r="F157" s="76"/>
    </row>
    <row r="160" spans="1:9" x14ac:dyDescent="0.3">
      <c r="A160" s="47" t="s">
        <v>188</v>
      </c>
    </row>
    <row r="161" spans="1:9" x14ac:dyDescent="0.3">
      <c r="A161" s="80"/>
    </row>
    <row r="162" spans="1:9" s="42" customFormat="1" x14ac:dyDescent="0.3">
      <c r="A162" s="11" t="s">
        <v>79</v>
      </c>
      <c r="B162" s="41"/>
      <c r="C162" s="41"/>
      <c r="D162" s="41"/>
      <c r="E162" s="41"/>
      <c r="F162" s="41"/>
    </row>
    <row r="163" spans="1:9" s="42" customFormat="1" x14ac:dyDescent="0.3">
      <c r="A163" s="29"/>
      <c r="B163" s="41"/>
      <c r="C163" s="41"/>
      <c r="D163" s="41"/>
      <c r="E163" s="41"/>
      <c r="F163" s="41"/>
    </row>
    <row r="164" spans="1:9" s="42" customFormat="1" x14ac:dyDescent="0.3">
      <c r="A164" s="12" t="s">
        <v>33</v>
      </c>
      <c r="B164" s="30" t="s">
        <v>80</v>
      </c>
      <c r="C164" s="30" t="s">
        <v>81</v>
      </c>
      <c r="D164" s="30" t="s">
        <v>82</v>
      </c>
      <c r="E164" s="30" t="s">
        <v>83</v>
      </c>
      <c r="F164" s="30" t="s">
        <v>20</v>
      </c>
    </row>
    <row r="165" spans="1:9" s="42" customFormat="1" x14ac:dyDescent="0.3">
      <c r="A165" s="15" t="s">
        <v>189</v>
      </c>
      <c r="B165" s="16">
        <v>3393</v>
      </c>
      <c r="C165" s="16">
        <v>2809</v>
      </c>
      <c r="D165" s="16">
        <v>3548</v>
      </c>
      <c r="E165" s="16">
        <v>4072</v>
      </c>
      <c r="F165" s="16">
        <f>B165+C165+D165+E165</f>
        <v>13822</v>
      </c>
      <c r="I165" s="82"/>
    </row>
    <row r="166" spans="1:9" s="42" customFormat="1" x14ac:dyDescent="0.3">
      <c r="A166" s="15" t="s">
        <v>190</v>
      </c>
      <c r="B166" s="16">
        <v>4771</v>
      </c>
      <c r="C166" s="16">
        <v>1833</v>
      </c>
      <c r="D166" s="16">
        <v>1799</v>
      </c>
      <c r="E166" s="16">
        <v>3066</v>
      </c>
      <c r="F166" s="16">
        <f>B166+C166+D166+E166</f>
        <v>11469</v>
      </c>
      <c r="I166" s="82"/>
    </row>
    <row r="167" spans="1:9" s="42" customFormat="1" x14ac:dyDescent="0.3">
      <c r="A167" s="15" t="s">
        <v>191</v>
      </c>
      <c r="B167" s="16">
        <v>5199</v>
      </c>
      <c r="C167" s="16">
        <v>2336</v>
      </c>
      <c r="D167" s="16">
        <v>3340</v>
      </c>
      <c r="E167" s="16">
        <v>4303</v>
      </c>
      <c r="F167" s="16">
        <f>B167+C167+D167+E167</f>
        <v>15178</v>
      </c>
      <c r="I167" s="82"/>
    </row>
    <row r="168" spans="1:9" s="42" customFormat="1" x14ac:dyDescent="0.3">
      <c r="A168" s="15" t="s">
        <v>198</v>
      </c>
      <c r="B168" s="16">
        <v>5910</v>
      </c>
      <c r="C168" s="16">
        <f>1199+4310</f>
        <v>5509</v>
      </c>
      <c r="D168" s="16">
        <v>3827</v>
      </c>
      <c r="E168" s="16">
        <f>283+6253</f>
        <v>6536</v>
      </c>
      <c r="F168" s="16">
        <f>B168+C168+D168+E168</f>
        <v>21782</v>
      </c>
      <c r="G168" s="82"/>
      <c r="H168" s="82"/>
      <c r="I168" s="82"/>
    </row>
    <row r="169" spans="1:9" s="42" customFormat="1" x14ac:dyDescent="0.3">
      <c r="A169" s="15" t="s">
        <v>193</v>
      </c>
      <c r="B169" s="16">
        <v>2100</v>
      </c>
      <c r="C169" s="16">
        <v>1457</v>
      </c>
      <c r="D169" s="16">
        <v>1004</v>
      </c>
      <c r="E169" s="16">
        <v>1593</v>
      </c>
      <c r="F169" s="16">
        <f>B169+C169+D169+E169</f>
        <v>6154</v>
      </c>
      <c r="I169" s="82"/>
    </row>
    <row r="170" spans="1:9" s="42" customFormat="1" x14ac:dyDescent="0.3">
      <c r="A170" s="18" t="s">
        <v>41</v>
      </c>
      <c r="B170" s="20">
        <f>SUM(B165:B169)</f>
        <v>21373</v>
      </c>
      <c r="C170" s="20">
        <f>SUM(C165:C169)</f>
        <v>13944</v>
      </c>
      <c r="D170" s="20">
        <f>SUM(D165:D169)</f>
        <v>13518</v>
      </c>
      <c r="E170" s="20">
        <f>SUM(E165:E169)</f>
        <v>19570</v>
      </c>
      <c r="F170" s="20">
        <f>SUM(F165:F169)</f>
        <v>68405</v>
      </c>
      <c r="I170" s="82"/>
    </row>
    <row r="171" spans="1:9" s="42" customFormat="1" x14ac:dyDescent="0.3">
      <c r="A171" s="69"/>
      <c r="B171" s="41"/>
      <c r="C171" s="41"/>
      <c r="D171" s="41"/>
      <c r="E171" s="41"/>
      <c r="F171" s="41"/>
    </row>
    <row r="172" spans="1:9" s="42" customFormat="1" x14ac:dyDescent="0.3">
      <c r="A172" s="12" t="s">
        <v>72</v>
      </c>
      <c r="B172" s="13" t="str">
        <f>B164</f>
        <v>Q1 FY 22</v>
      </c>
      <c r="C172" s="13" t="str">
        <f>C164</f>
        <v>Q2 FY 22</v>
      </c>
      <c r="D172" s="13" t="str">
        <f>D164</f>
        <v>Q3 FY 22</v>
      </c>
      <c r="E172" s="13" t="str">
        <f>E164</f>
        <v>Q4 FY 22</v>
      </c>
      <c r="F172" s="13" t="str">
        <f>F164</f>
        <v>YTD</v>
      </c>
    </row>
    <row r="173" spans="1:9" s="42" customFormat="1" x14ac:dyDescent="0.3">
      <c r="A173" s="15" t="s">
        <v>189</v>
      </c>
      <c r="B173" s="16">
        <v>11569</v>
      </c>
      <c r="C173" s="16">
        <v>9832</v>
      </c>
      <c r="D173" s="16">
        <v>9686</v>
      </c>
      <c r="E173" s="16">
        <v>12284</v>
      </c>
      <c r="F173" s="16">
        <f>B173+C173+D173+E173</f>
        <v>43371</v>
      </c>
    </row>
    <row r="174" spans="1:9" s="42" customFormat="1" x14ac:dyDescent="0.3">
      <c r="A174" s="15" t="s">
        <v>190</v>
      </c>
      <c r="B174" s="16">
        <v>18916</v>
      </c>
      <c r="C174" s="16">
        <v>15675</v>
      </c>
      <c r="D174" s="16">
        <v>17376</v>
      </c>
      <c r="E174" s="16">
        <v>15914</v>
      </c>
      <c r="F174" s="16">
        <f>B174+C174+D174+E174</f>
        <v>67881</v>
      </c>
    </row>
    <row r="175" spans="1:9" s="42" customFormat="1" x14ac:dyDescent="0.3">
      <c r="A175" s="15" t="s">
        <v>191</v>
      </c>
      <c r="B175" s="16">
        <v>13008</v>
      </c>
      <c r="C175" s="16">
        <v>11503</v>
      </c>
      <c r="D175" s="16">
        <v>11808</v>
      </c>
      <c r="E175" s="16">
        <v>13664</v>
      </c>
      <c r="F175" s="16">
        <f>B175+C175+D175+E175</f>
        <v>49983</v>
      </c>
    </row>
    <row r="176" spans="1:9" s="42" customFormat="1" x14ac:dyDescent="0.3">
      <c r="A176" s="15" t="s">
        <v>198</v>
      </c>
      <c r="B176" s="16">
        <v>19515</v>
      </c>
      <c r="C176" s="16">
        <f>7118+9909</f>
        <v>17027</v>
      </c>
      <c r="D176" s="16">
        <v>20206</v>
      </c>
      <c r="E176" s="16">
        <f>9985+6369</f>
        <v>16354</v>
      </c>
      <c r="F176" s="16">
        <f>B176+C176+D176+E176</f>
        <v>73102</v>
      </c>
      <c r="G176" s="82"/>
      <c r="H176" s="82"/>
    </row>
    <row r="177" spans="1:9" s="42" customFormat="1" x14ac:dyDescent="0.3">
      <c r="A177" s="15" t="s">
        <v>193</v>
      </c>
      <c r="B177" s="16">
        <v>12760</v>
      </c>
      <c r="C177" s="16">
        <v>10270</v>
      </c>
      <c r="D177" s="16">
        <v>10516</v>
      </c>
      <c r="E177" s="16">
        <v>11362</v>
      </c>
      <c r="F177" s="16">
        <f>B177+C177+D177+E177</f>
        <v>44908</v>
      </c>
    </row>
    <row r="178" spans="1:9" s="42" customFormat="1" x14ac:dyDescent="0.3">
      <c r="A178" s="18" t="s">
        <v>65</v>
      </c>
      <c r="B178" s="20">
        <f>SUM(B173:B177)</f>
        <v>75768</v>
      </c>
      <c r="C178" s="20">
        <f>SUM(C173:C177)</f>
        <v>64307</v>
      </c>
      <c r="D178" s="20">
        <f>SUM(D173:D177)</f>
        <v>69592</v>
      </c>
      <c r="E178" s="20">
        <f>SUM(E173:E177)</f>
        <v>69578</v>
      </c>
      <c r="F178" s="20">
        <f>SUM(F173:F177)</f>
        <v>279245</v>
      </c>
      <c r="G178" s="82"/>
      <c r="I178" s="82"/>
    </row>
    <row r="179" spans="1:9" s="42" customFormat="1" x14ac:dyDescent="0.3">
      <c r="A179" s="69"/>
      <c r="B179" s="41"/>
      <c r="C179" s="41"/>
      <c r="D179" s="41"/>
      <c r="E179" s="41"/>
      <c r="F179" s="41"/>
    </row>
    <row r="180" spans="1:9" s="42" customFormat="1" x14ac:dyDescent="0.3">
      <c r="A180" s="12" t="s">
        <v>195</v>
      </c>
      <c r="B180" s="13" t="str">
        <f>B172</f>
        <v>Q1 FY 22</v>
      </c>
      <c r="C180" s="13" t="str">
        <f>C172</f>
        <v>Q2 FY 22</v>
      </c>
      <c r="D180" s="13" t="str">
        <f>D172</f>
        <v>Q3 FY 22</v>
      </c>
      <c r="E180" s="13" t="str">
        <f>E172</f>
        <v>Q4 FY 22</v>
      </c>
      <c r="F180" s="13" t="str">
        <f>F172</f>
        <v>YTD</v>
      </c>
    </row>
    <row r="181" spans="1:9" s="42" customFormat="1" x14ac:dyDescent="0.3">
      <c r="A181" s="15" t="s">
        <v>189</v>
      </c>
      <c r="B181" s="16">
        <f t="shared" ref="B181:E185" si="12">B165+B173</f>
        <v>14962</v>
      </c>
      <c r="C181" s="16">
        <f t="shared" si="12"/>
        <v>12641</v>
      </c>
      <c r="D181" s="16">
        <f t="shared" si="12"/>
        <v>13234</v>
      </c>
      <c r="E181" s="16">
        <f t="shared" si="12"/>
        <v>16356</v>
      </c>
      <c r="F181" s="16">
        <f t="shared" ref="F181:F186" si="13">F173+F165</f>
        <v>57193</v>
      </c>
    </row>
    <row r="182" spans="1:9" s="42" customFormat="1" x14ac:dyDescent="0.3">
      <c r="A182" s="15" t="s">
        <v>190</v>
      </c>
      <c r="B182" s="16">
        <f t="shared" si="12"/>
        <v>23687</v>
      </c>
      <c r="C182" s="16">
        <f t="shared" si="12"/>
        <v>17508</v>
      </c>
      <c r="D182" s="16">
        <f t="shared" si="12"/>
        <v>19175</v>
      </c>
      <c r="E182" s="16">
        <f t="shared" si="12"/>
        <v>18980</v>
      </c>
      <c r="F182" s="16">
        <f t="shared" si="13"/>
        <v>79350</v>
      </c>
    </row>
    <row r="183" spans="1:9" s="42" customFormat="1" x14ac:dyDescent="0.3">
      <c r="A183" s="15" t="s">
        <v>191</v>
      </c>
      <c r="B183" s="16">
        <f t="shared" si="12"/>
        <v>18207</v>
      </c>
      <c r="C183" s="16">
        <f t="shared" si="12"/>
        <v>13839</v>
      </c>
      <c r="D183" s="16">
        <f t="shared" si="12"/>
        <v>15148</v>
      </c>
      <c r="E183" s="16">
        <f t="shared" si="12"/>
        <v>17967</v>
      </c>
      <c r="F183" s="16">
        <f t="shared" si="13"/>
        <v>65161</v>
      </c>
    </row>
    <row r="184" spans="1:9" s="42" customFormat="1" x14ac:dyDescent="0.3">
      <c r="A184" s="15" t="s">
        <v>198</v>
      </c>
      <c r="B184" s="16">
        <f t="shared" si="12"/>
        <v>25425</v>
      </c>
      <c r="C184" s="16">
        <f t="shared" si="12"/>
        <v>22536</v>
      </c>
      <c r="D184" s="16">
        <f t="shared" si="12"/>
        <v>24033</v>
      </c>
      <c r="E184" s="16">
        <f t="shared" si="12"/>
        <v>22890</v>
      </c>
      <c r="F184" s="16">
        <f t="shared" si="13"/>
        <v>94884</v>
      </c>
      <c r="G184" s="82"/>
      <c r="H184" s="82"/>
    </row>
    <row r="185" spans="1:9" s="42" customFormat="1" x14ac:dyDescent="0.3">
      <c r="A185" s="15" t="s">
        <v>193</v>
      </c>
      <c r="B185" s="16">
        <f t="shared" si="12"/>
        <v>14860</v>
      </c>
      <c r="C185" s="16">
        <f t="shared" si="12"/>
        <v>11727</v>
      </c>
      <c r="D185" s="16">
        <f t="shared" si="12"/>
        <v>11520</v>
      </c>
      <c r="E185" s="16">
        <f t="shared" si="12"/>
        <v>12955</v>
      </c>
      <c r="F185" s="16">
        <f t="shared" si="13"/>
        <v>51062</v>
      </c>
    </row>
    <row r="186" spans="1:9" s="42" customFormat="1" x14ac:dyDescent="0.3">
      <c r="A186" s="18" t="s">
        <v>196</v>
      </c>
      <c r="B186" s="83">
        <f>B178+B170</f>
        <v>97141</v>
      </c>
      <c r="C186" s="83">
        <f>C178+C170</f>
        <v>78251</v>
      </c>
      <c r="D186" s="83">
        <f>D178+D170</f>
        <v>83110</v>
      </c>
      <c r="E186" s="83">
        <f>E178+E170</f>
        <v>89148</v>
      </c>
      <c r="F186" s="83">
        <f t="shared" si="13"/>
        <v>347650</v>
      </c>
      <c r="G186" s="84"/>
      <c r="H186" s="84"/>
      <c r="I186" s="85"/>
    </row>
    <row r="187" spans="1:9" x14ac:dyDescent="0.3">
      <c r="C187" s="72"/>
    </row>
    <row r="188" spans="1:9" s="42" customFormat="1" x14ac:dyDescent="0.3">
      <c r="A188" s="86" t="s">
        <v>199</v>
      </c>
      <c r="B188" s="39">
        <v>12699</v>
      </c>
      <c r="C188" s="39">
        <v>14219</v>
      </c>
      <c r="D188" s="39">
        <v>13928</v>
      </c>
      <c r="E188" s="39">
        <f>6369+6253</f>
        <v>12622</v>
      </c>
      <c r="F188" s="39">
        <f>SUM(B188:E188)</f>
        <v>53468</v>
      </c>
      <c r="G188" s="87"/>
    </row>
    <row r="189" spans="1:9" s="42" customFormat="1" x14ac:dyDescent="0.3">
      <c r="A189" s="73"/>
      <c r="B189" s="74"/>
      <c r="C189" s="74"/>
      <c r="D189" s="74"/>
      <c r="E189" s="74"/>
      <c r="F189" s="74"/>
    </row>
    <row r="190" spans="1:9" s="77" customFormat="1" ht="6" customHeight="1" x14ac:dyDescent="0.3">
      <c r="A190" s="75"/>
      <c r="B190" s="76"/>
      <c r="C190" s="76"/>
      <c r="D190" s="76"/>
      <c r="E190" s="76"/>
      <c r="F190" s="76"/>
    </row>
    <row r="192" spans="1:9" x14ac:dyDescent="0.3">
      <c r="A192" s="47" t="s">
        <v>188</v>
      </c>
    </row>
    <row r="193" spans="1:9" x14ac:dyDescent="0.3">
      <c r="A193" s="80"/>
    </row>
    <row r="194" spans="1:9" s="42" customFormat="1" x14ac:dyDescent="0.3">
      <c r="A194" s="11" t="s">
        <v>86</v>
      </c>
      <c r="B194" s="41"/>
      <c r="C194" s="41"/>
      <c r="D194" s="41"/>
      <c r="E194" s="41"/>
      <c r="F194" s="41"/>
    </row>
    <row r="195" spans="1:9" s="42" customFormat="1" x14ac:dyDescent="0.3">
      <c r="A195" s="29"/>
      <c r="B195" s="41"/>
      <c r="C195" s="41"/>
      <c r="D195" s="41"/>
      <c r="E195" s="41"/>
      <c r="F195" s="41"/>
    </row>
    <row r="196" spans="1:9" s="42" customFormat="1" x14ac:dyDescent="0.3">
      <c r="A196" s="12" t="s">
        <v>33</v>
      </c>
      <c r="B196" s="30" t="s">
        <v>87</v>
      </c>
      <c r="C196" s="30" t="s">
        <v>88</v>
      </c>
      <c r="D196" s="30" t="s">
        <v>89</v>
      </c>
      <c r="E196" s="30" t="s">
        <v>90</v>
      </c>
      <c r="F196" s="30" t="s">
        <v>20</v>
      </c>
    </row>
    <row r="197" spans="1:9" s="42" customFormat="1" x14ac:dyDescent="0.3">
      <c r="A197" s="15" t="s">
        <v>189</v>
      </c>
      <c r="B197" s="16">
        <v>2533</v>
      </c>
      <c r="C197" s="16">
        <v>4873</v>
      </c>
      <c r="D197" s="16">
        <v>5970</v>
      </c>
      <c r="E197" s="16">
        <v>8929</v>
      </c>
      <c r="F197" s="16">
        <f>B197+C197+D197+E197</f>
        <v>22305</v>
      </c>
      <c r="I197" s="82"/>
    </row>
    <row r="198" spans="1:9" s="42" customFormat="1" x14ac:dyDescent="0.3">
      <c r="A198" s="15" t="s">
        <v>190</v>
      </c>
      <c r="B198" s="16">
        <v>3416</v>
      </c>
      <c r="C198" s="16">
        <v>1898</v>
      </c>
      <c r="D198" s="16">
        <v>2275</v>
      </c>
      <c r="E198" s="16">
        <v>5861</v>
      </c>
      <c r="F198" s="16">
        <f>B198+C198+D198+E198</f>
        <v>13450</v>
      </c>
      <c r="I198" s="82"/>
    </row>
    <row r="199" spans="1:9" s="42" customFormat="1" x14ac:dyDescent="0.3">
      <c r="A199" s="15" t="s">
        <v>191</v>
      </c>
      <c r="B199" s="16">
        <v>3251</v>
      </c>
      <c r="C199" s="16">
        <v>3090</v>
      </c>
      <c r="D199" s="16">
        <v>5772</v>
      </c>
      <c r="E199" s="16">
        <v>8580</v>
      </c>
      <c r="F199" s="16">
        <f>B199+C199+D199+E199</f>
        <v>20693</v>
      </c>
      <c r="I199" s="82"/>
    </row>
    <row r="200" spans="1:9" s="42" customFormat="1" x14ac:dyDescent="0.3">
      <c r="A200" s="15" t="s">
        <v>198</v>
      </c>
      <c r="B200" s="16">
        <v>6996</v>
      </c>
      <c r="C200" s="16">
        <v>7161</v>
      </c>
      <c r="D200" s="16">
        <v>7102</v>
      </c>
      <c r="E200" s="16">
        <v>6451</v>
      </c>
      <c r="F200" s="16">
        <f>B200+C200+D200+E200</f>
        <v>27710</v>
      </c>
      <c r="G200" s="82"/>
      <c r="H200" s="82"/>
      <c r="I200" s="82"/>
    </row>
    <row r="201" spans="1:9" s="42" customFormat="1" x14ac:dyDescent="0.3">
      <c r="A201" s="15" t="s">
        <v>193</v>
      </c>
      <c r="B201" s="16">
        <v>1775</v>
      </c>
      <c r="C201" s="16">
        <v>1167</v>
      </c>
      <c r="D201" s="16">
        <v>1347</v>
      </c>
      <c r="E201" s="16">
        <v>1993</v>
      </c>
      <c r="F201" s="16">
        <f>B201+C201+D201+E201</f>
        <v>6282</v>
      </c>
      <c r="I201" s="82"/>
    </row>
    <row r="202" spans="1:9" s="42" customFormat="1" x14ac:dyDescent="0.3">
      <c r="A202" s="18" t="s">
        <v>41</v>
      </c>
      <c r="B202" s="20">
        <f>SUM(B197:B201)</f>
        <v>17971</v>
      </c>
      <c r="C202" s="20">
        <f>SUM(C197:C201)</f>
        <v>18189</v>
      </c>
      <c r="D202" s="20">
        <f>SUM(D197:D201)</f>
        <v>22466</v>
      </c>
      <c r="E202" s="20">
        <f>SUM(E197:E201)</f>
        <v>31814</v>
      </c>
      <c r="F202" s="20">
        <f>SUM(F197:F201)</f>
        <v>90440</v>
      </c>
      <c r="I202" s="82"/>
    </row>
    <row r="203" spans="1:9" s="42" customFormat="1" x14ac:dyDescent="0.3">
      <c r="A203" s="69"/>
      <c r="B203" s="41"/>
      <c r="C203" s="41"/>
      <c r="D203" s="41"/>
      <c r="E203" s="41"/>
      <c r="F203" s="41"/>
    </row>
    <row r="204" spans="1:9" s="42" customFormat="1" x14ac:dyDescent="0.3">
      <c r="A204" s="12" t="s">
        <v>72</v>
      </c>
      <c r="B204" s="13" t="str">
        <f>B196</f>
        <v>Q1 FY 21</v>
      </c>
      <c r="C204" s="13" t="str">
        <f>C196</f>
        <v>Q2 FY 21</v>
      </c>
      <c r="D204" s="13" t="str">
        <f>D196</f>
        <v>Q3 FY 21</v>
      </c>
      <c r="E204" s="13" t="str">
        <f>E196</f>
        <v>Q4 FY 21</v>
      </c>
      <c r="F204" s="13" t="str">
        <f>F196</f>
        <v>YTD</v>
      </c>
    </row>
    <row r="205" spans="1:9" s="42" customFormat="1" x14ac:dyDescent="0.3">
      <c r="A205" s="15" t="s">
        <v>189</v>
      </c>
      <c r="B205" s="16">
        <v>6531</v>
      </c>
      <c r="C205" s="16">
        <v>13256</v>
      </c>
      <c r="D205" s="16">
        <v>14407</v>
      </c>
      <c r="E205" s="16">
        <v>25001</v>
      </c>
      <c r="F205" s="16">
        <f>B205+C205+D205+E205</f>
        <v>59195</v>
      </c>
    </row>
    <row r="206" spans="1:9" s="42" customFormat="1" x14ac:dyDescent="0.3">
      <c r="A206" s="15" t="s">
        <v>190</v>
      </c>
      <c r="B206" s="16">
        <v>7276</v>
      </c>
      <c r="C206" s="16">
        <v>16824</v>
      </c>
      <c r="D206" s="16">
        <v>29913</v>
      </c>
      <c r="E206" s="16">
        <v>26296</v>
      </c>
      <c r="F206" s="16">
        <f>B206+C206+D206+E206</f>
        <v>80309</v>
      </c>
    </row>
    <row r="207" spans="1:9" s="42" customFormat="1" x14ac:dyDescent="0.3">
      <c r="A207" s="15" t="s">
        <v>191</v>
      </c>
      <c r="B207" s="16">
        <v>7790</v>
      </c>
      <c r="C207" s="16">
        <v>12019</v>
      </c>
      <c r="D207" s="16">
        <v>15074</v>
      </c>
      <c r="E207" s="16">
        <v>21030</v>
      </c>
      <c r="F207" s="16">
        <f>B207+C207+D207+E207</f>
        <v>55913</v>
      </c>
    </row>
    <row r="208" spans="1:9" s="42" customFormat="1" x14ac:dyDescent="0.3">
      <c r="A208" s="15" t="s">
        <v>198</v>
      </c>
      <c r="B208" s="16">
        <v>18113</v>
      </c>
      <c r="C208" s="16">
        <v>23898</v>
      </c>
      <c r="D208" s="16">
        <v>24682</v>
      </c>
      <c r="E208" s="16">
        <v>18021</v>
      </c>
      <c r="F208" s="16">
        <f>B208+C208+D208+E208</f>
        <v>84714</v>
      </c>
      <c r="G208" s="82"/>
      <c r="H208" s="82"/>
    </row>
    <row r="209" spans="1:9" s="42" customFormat="1" x14ac:dyDescent="0.3">
      <c r="A209" s="15" t="s">
        <v>193</v>
      </c>
      <c r="B209" s="16">
        <v>7744</v>
      </c>
      <c r="C209" s="16">
        <v>7181</v>
      </c>
      <c r="D209" s="16">
        <v>13116</v>
      </c>
      <c r="E209" s="16">
        <v>14299</v>
      </c>
      <c r="F209" s="16">
        <f>B209+C209+D209+E209</f>
        <v>42340</v>
      </c>
    </row>
    <row r="210" spans="1:9" s="42" customFormat="1" x14ac:dyDescent="0.3">
      <c r="A210" s="18" t="s">
        <v>65</v>
      </c>
      <c r="B210" s="20">
        <f>SUM(B205:B209)</f>
        <v>47454</v>
      </c>
      <c r="C210" s="20">
        <f>SUM(C205:C209)</f>
        <v>73178</v>
      </c>
      <c r="D210" s="20">
        <f>SUM(D205:D209)</f>
        <v>97192</v>
      </c>
      <c r="E210" s="20">
        <f>SUM(E205:E209)</f>
        <v>104647</v>
      </c>
      <c r="F210" s="20">
        <f>SUM(F205:F209)</f>
        <v>322471</v>
      </c>
      <c r="G210" s="82"/>
      <c r="I210" s="82"/>
    </row>
    <row r="211" spans="1:9" s="42" customFormat="1" x14ac:dyDescent="0.3">
      <c r="A211" s="69"/>
      <c r="B211" s="41"/>
      <c r="C211" s="41"/>
      <c r="D211" s="41"/>
      <c r="E211" s="41"/>
      <c r="F211" s="41"/>
    </row>
    <row r="212" spans="1:9" s="42" customFormat="1" x14ac:dyDescent="0.3">
      <c r="A212" s="12" t="s">
        <v>195</v>
      </c>
      <c r="B212" s="13" t="str">
        <f>B204</f>
        <v>Q1 FY 21</v>
      </c>
      <c r="C212" s="13" t="str">
        <f>C204</f>
        <v>Q2 FY 21</v>
      </c>
      <c r="D212" s="13" t="str">
        <f>D204</f>
        <v>Q3 FY 21</v>
      </c>
      <c r="E212" s="13" t="str">
        <f>E204</f>
        <v>Q4 FY 21</v>
      </c>
      <c r="F212" s="13" t="str">
        <f>F204</f>
        <v>YTD</v>
      </c>
    </row>
    <row r="213" spans="1:9" s="42" customFormat="1" x14ac:dyDescent="0.3">
      <c r="A213" s="15" t="s">
        <v>189</v>
      </c>
      <c r="B213" s="16">
        <f t="shared" ref="B213:D217" si="14">B197+B205</f>
        <v>9064</v>
      </c>
      <c r="C213" s="16">
        <f t="shared" si="14"/>
        <v>18129</v>
      </c>
      <c r="D213" s="16">
        <f t="shared" si="14"/>
        <v>20377</v>
      </c>
      <c r="E213" s="16">
        <f>E197+E205</f>
        <v>33930</v>
      </c>
      <c r="F213" s="16">
        <f t="shared" ref="F213:F218" si="15">F205+F197</f>
        <v>81500</v>
      </c>
    </row>
    <row r="214" spans="1:9" s="42" customFormat="1" x14ac:dyDescent="0.3">
      <c r="A214" s="15" t="s">
        <v>190</v>
      </c>
      <c r="B214" s="16">
        <f t="shared" si="14"/>
        <v>10692</v>
      </c>
      <c r="C214" s="16">
        <f t="shared" si="14"/>
        <v>18722</v>
      </c>
      <c r="D214" s="16">
        <f t="shared" si="14"/>
        <v>32188</v>
      </c>
      <c r="E214" s="16">
        <f>E198+E206</f>
        <v>32157</v>
      </c>
      <c r="F214" s="16">
        <f t="shared" si="15"/>
        <v>93759</v>
      </c>
    </row>
    <row r="215" spans="1:9" s="42" customFormat="1" x14ac:dyDescent="0.3">
      <c r="A215" s="15" t="s">
        <v>191</v>
      </c>
      <c r="B215" s="16">
        <f t="shared" si="14"/>
        <v>11041</v>
      </c>
      <c r="C215" s="16">
        <f t="shared" si="14"/>
        <v>15109</v>
      </c>
      <c r="D215" s="16">
        <f t="shared" si="14"/>
        <v>20846</v>
      </c>
      <c r="E215" s="16">
        <f>E199+E207</f>
        <v>29610</v>
      </c>
      <c r="F215" s="16">
        <f t="shared" si="15"/>
        <v>76606</v>
      </c>
    </row>
    <row r="216" spans="1:9" s="42" customFormat="1" x14ac:dyDescent="0.3">
      <c r="A216" s="15" t="s">
        <v>198</v>
      </c>
      <c r="B216" s="16">
        <f t="shared" si="14"/>
        <v>25109</v>
      </c>
      <c r="C216" s="16">
        <f t="shared" si="14"/>
        <v>31059</v>
      </c>
      <c r="D216" s="16">
        <f t="shared" si="14"/>
        <v>31784</v>
      </c>
      <c r="E216" s="16">
        <f>E200+E208</f>
        <v>24472</v>
      </c>
      <c r="F216" s="16">
        <f t="shared" si="15"/>
        <v>112424</v>
      </c>
      <c r="G216" s="82"/>
      <c r="H216" s="82"/>
    </row>
    <row r="217" spans="1:9" s="42" customFormat="1" x14ac:dyDescent="0.3">
      <c r="A217" s="15" t="s">
        <v>193</v>
      </c>
      <c r="B217" s="16">
        <f t="shared" si="14"/>
        <v>9519</v>
      </c>
      <c r="C217" s="16">
        <f t="shared" si="14"/>
        <v>8348</v>
      </c>
      <c r="D217" s="16">
        <f>D201+D209</f>
        <v>14463</v>
      </c>
      <c r="E217" s="16">
        <f>E201+E209</f>
        <v>16292</v>
      </c>
      <c r="F217" s="16">
        <f t="shared" si="15"/>
        <v>48622</v>
      </c>
    </row>
    <row r="218" spans="1:9" s="42" customFormat="1" x14ac:dyDescent="0.3">
      <c r="A218" s="18" t="s">
        <v>196</v>
      </c>
      <c r="B218" s="83">
        <f>B210+B202</f>
        <v>65425</v>
      </c>
      <c r="C218" s="83">
        <f>C210+C202</f>
        <v>91367</v>
      </c>
      <c r="D218" s="83">
        <f>D210+D202</f>
        <v>119658</v>
      </c>
      <c r="E218" s="83">
        <f>E210+E202</f>
        <v>136461</v>
      </c>
      <c r="F218" s="83">
        <f t="shared" si="15"/>
        <v>412911</v>
      </c>
      <c r="H218" s="84"/>
      <c r="I218" s="85"/>
    </row>
    <row r="219" spans="1:9" x14ac:dyDescent="0.3">
      <c r="C219" s="72"/>
    </row>
    <row r="220" spans="1:9" s="42" customFormat="1" x14ac:dyDescent="0.3">
      <c r="A220" s="86" t="s">
        <v>199</v>
      </c>
      <c r="B220" s="39">
        <v>16513</v>
      </c>
      <c r="C220" s="39">
        <v>17916</v>
      </c>
      <c r="D220" s="39">
        <v>17078</v>
      </c>
      <c r="E220" s="39">
        <v>13772</v>
      </c>
      <c r="F220" s="39">
        <f>SUM(B220:E220)</f>
        <v>65279</v>
      </c>
      <c r="G220" s="84"/>
    </row>
    <row r="221" spans="1:9" s="42" customFormat="1" x14ac:dyDescent="0.3">
      <c r="A221" s="73"/>
      <c r="B221" s="74"/>
      <c r="C221" s="74"/>
      <c r="D221" s="74"/>
      <c r="E221" s="74"/>
      <c r="F221" s="74"/>
    </row>
    <row r="222" spans="1:9" s="77" customFormat="1" ht="6" customHeight="1" x14ac:dyDescent="0.3">
      <c r="A222" s="75"/>
      <c r="B222" s="76"/>
      <c r="C222" s="76"/>
      <c r="D222" s="76"/>
      <c r="E222" s="76"/>
      <c r="F222" s="76"/>
    </row>
    <row r="224" spans="1:9" x14ac:dyDescent="0.3">
      <c r="A224" s="47" t="s">
        <v>188</v>
      </c>
    </row>
    <row r="225" spans="1:9" x14ac:dyDescent="0.3">
      <c r="A225" s="80"/>
    </row>
    <row r="226" spans="1:9" s="42" customFormat="1" x14ac:dyDescent="0.3">
      <c r="A226" s="11" t="s">
        <v>91</v>
      </c>
      <c r="B226" s="41"/>
      <c r="C226" s="41"/>
      <c r="D226" s="41"/>
      <c r="E226" s="41"/>
      <c r="F226" s="41"/>
    </row>
    <row r="227" spans="1:9" s="42" customFormat="1" x14ac:dyDescent="0.3">
      <c r="A227" s="29"/>
      <c r="B227" s="41"/>
      <c r="C227" s="41"/>
      <c r="D227" s="41"/>
      <c r="E227" s="41"/>
      <c r="F227" s="41"/>
    </row>
    <row r="228" spans="1:9" s="42" customFormat="1" x14ac:dyDescent="0.3">
      <c r="A228" s="12" t="s">
        <v>33</v>
      </c>
      <c r="B228" s="30" t="s">
        <v>92</v>
      </c>
      <c r="C228" s="30" t="s">
        <v>93</v>
      </c>
      <c r="D228" s="30" t="s">
        <v>94</v>
      </c>
      <c r="E228" s="30" t="s">
        <v>95</v>
      </c>
      <c r="F228" s="30" t="s">
        <v>20</v>
      </c>
    </row>
    <row r="229" spans="1:9" s="42" customFormat="1" x14ac:dyDescent="0.3">
      <c r="A229" s="15" t="s">
        <v>189</v>
      </c>
      <c r="B229" s="16">
        <v>9525</v>
      </c>
      <c r="C229" s="16">
        <v>9621</v>
      </c>
      <c r="D229" s="16">
        <v>6459</v>
      </c>
      <c r="E229" s="16">
        <v>9428</v>
      </c>
      <c r="F229" s="16">
        <f>B229+C229+D229+E229</f>
        <v>35033</v>
      </c>
    </row>
    <row r="230" spans="1:9" s="42" customFormat="1" x14ac:dyDescent="0.3">
      <c r="A230" s="15" t="s">
        <v>190</v>
      </c>
      <c r="B230" s="16">
        <v>5865</v>
      </c>
      <c r="C230" s="16">
        <v>8245</v>
      </c>
      <c r="D230" s="16">
        <v>9279</v>
      </c>
      <c r="E230" s="16">
        <v>7125</v>
      </c>
      <c r="F230" s="16">
        <f>B230+C230+D230+E230</f>
        <v>30514</v>
      </c>
    </row>
    <row r="231" spans="1:9" s="42" customFormat="1" x14ac:dyDescent="0.3">
      <c r="A231" s="15" t="s">
        <v>191</v>
      </c>
      <c r="B231" s="16">
        <v>10143</v>
      </c>
      <c r="C231" s="16">
        <v>7884</v>
      </c>
      <c r="D231" s="16">
        <v>8652</v>
      </c>
      <c r="E231" s="16">
        <v>9479</v>
      </c>
      <c r="F231" s="16">
        <f>B231+C231+D231+E231</f>
        <v>36158</v>
      </c>
    </row>
    <row r="232" spans="1:9" s="42" customFormat="1" x14ac:dyDescent="0.3">
      <c r="A232" s="15" t="s">
        <v>198</v>
      </c>
      <c r="B232" s="16">
        <f>2548+6798</f>
        <v>9346</v>
      </c>
      <c r="C232" s="16">
        <f>1667+4011</f>
        <v>5678</v>
      </c>
      <c r="D232" s="16">
        <v>7116</v>
      </c>
      <c r="E232" s="16">
        <v>3472</v>
      </c>
      <c r="F232" s="16">
        <f>B232+C232+D232+E232</f>
        <v>25612</v>
      </c>
    </row>
    <row r="233" spans="1:9" s="42" customFormat="1" x14ac:dyDescent="0.3">
      <c r="A233" s="15" t="s">
        <v>193</v>
      </c>
      <c r="B233" s="16">
        <v>4336</v>
      </c>
      <c r="C233" s="16">
        <v>4777</v>
      </c>
      <c r="D233" s="16">
        <v>4404</v>
      </c>
      <c r="E233" s="16">
        <v>3436</v>
      </c>
      <c r="F233" s="16">
        <f>B233+C233+D233+E233</f>
        <v>16953</v>
      </c>
    </row>
    <row r="234" spans="1:9" s="42" customFormat="1" x14ac:dyDescent="0.3">
      <c r="A234" s="18" t="s">
        <v>41</v>
      </c>
      <c r="B234" s="20">
        <f>SUM(B229:B233)</f>
        <v>39215</v>
      </c>
      <c r="C234" s="20">
        <f>SUM(C229:C233)</f>
        <v>36205</v>
      </c>
      <c r="D234" s="20">
        <f>SUM(D229:D233)</f>
        <v>35910</v>
      </c>
      <c r="E234" s="20">
        <f>SUM(E229:E233)</f>
        <v>32940</v>
      </c>
      <c r="F234" s="20">
        <f>SUM(F229:F233)</f>
        <v>144270</v>
      </c>
      <c r="I234" s="82"/>
    </row>
    <row r="235" spans="1:9" s="42" customFormat="1" x14ac:dyDescent="0.3">
      <c r="A235" s="69"/>
      <c r="B235" s="41"/>
      <c r="C235" s="41"/>
      <c r="D235" s="41"/>
      <c r="E235" s="41"/>
      <c r="F235" s="41"/>
    </row>
    <row r="236" spans="1:9" s="42" customFormat="1" x14ac:dyDescent="0.3">
      <c r="A236" s="12" t="s">
        <v>72</v>
      </c>
      <c r="B236" s="13" t="str">
        <f>B228</f>
        <v>Q1 FY 20</v>
      </c>
      <c r="C236" s="13" t="str">
        <f>C228</f>
        <v>Q2 FY 20</v>
      </c>
      <c r="D236" s="13" t="str">
        <f>D228</f>
        <v>Q3 FY 20</v>
      </c>
      <c r="E236" s="13" t="str">
        <f>E228</f>
        <v>Q4 FY 20</v>
      </c>
      <c r="F236" s="13" t="str">
        <f>F228</f>
        <v>YTD</v>
      </c>
    </row>
    <row r="237" spans="1:9" s="42" customFormat="1" x14ac:dyDescent="0.3">
      <c r="A237" s="15" t="s">
        <v>189</v>
      </c>
      <c r="B237" s="16">
        <v>15754</v>
      </c>
      <c r="C237" s="16">
        <v>19245</v>
      </c>
      <c r="D237" s="16">
        <v>16969</v>
      </c>
      <c r="E237" s="16">
        <v>23066</v>
      </c>
      <c r="F237" s="16">
        <f>B237+C237+D237+E237</f>
        <v>75034</v>
      </c>
    </row>
    <row r="238" spans="1:9" s="42" customFormat="1" x14ac:dyDescent="0.3">
      <c r="A238" s="15" t="s">
        <v>190</v>
      </c>
      <c r="B238" s="16">
        <v>20112</v>
      </c>
      <c r="C238" s="16">
        <v>24944</v>
      </c>
      <c r="D238" s="16">
        <v>34195</v>
      </c>
      <c r="E238" s="16">
        <v>26001</v>
      </c>
      <c r="F238" s="16">
        <f>B238+C238+D238+E238</f>
        <v>105252</v>
      </c>
    </row>
    <row r="239" spans="1:9" s="42" customFormat="1" x14ac:dyDescent="0.3">
      <c r="A239" s="15" t="s">
        <v>191</v>
      </c>
      <c r="B239" s="16">
        <v>15214</v>
      </c>
      <c r="C239" s="16">
        <v>18994</v>
      </c>
      <c r="D239" s="16">
        <v>20783</v>
      </c>
      <c r="E239" s="16">
        <v>22121</v>
      </c>
      <c r="F239" s="16">
        <f>B239+C239+D239+E239</f>
        <v>77112</v>
      </c>
    </row>
    <row r="240" spans="1:9" s="42" customFormat="1" x14ac:dyDescent="0.3">
      <c r="A240" s="15" t="s">
        <v>198</v>
      </c>
      <c r="B240" s="16">
        <f>7253+7562</f>
        <v>14815</v>
      </c>
      <c r="C240" s="16">
        <f>8778+9354</f>
        <v>18132</v>
      </c>
      <c r="D240" s="16">
        <v>20621</v>
      </c>
      <c r="E240" s="16">
        <v>8582</v>
      </c>
      <c r="F240" s="16">
        <f>B240+C240+D240+E240</f>
        <v>62150</v>
      </c>
    </row>
    <row r="241" spans="1:9" s="42" customFormat="1" x14ac:dyDescent="0.3">
      <c r="A241" s="15" t="s">
        <v>193</v>
      </c>
      <c r="B241" s="16">
        <v>13440</v>
      </c>
      <c r="C241" s="16">
        <v>16969</v>
      </c>
      <c r="D241" s="16">
        <v>16906</v>
      </c>
      <c r="E241" s="16">
        <v>14269</v>
      </c>
      <c r="F241" s="16">
        <f>B241+C241+D241+E241</f>
        <v>61584</v>
      </c>
    </row>
    <row r="242" spans="1:9" s="42" customFormat="1" x14ac:dyDescent="0.3">
      <c r="A242" s="18" t="s">
        <v>65</v>
      </c>
      <c r="B242" s="20">
        <f>SUM(B237:B241)</f>
        <v>79335</v>
      </c>
      <c r="C242" s="20">
        <f>SUM(C237:C241)</f>
        <v>98284</v>
      </c>
      <c r="D242" s="20">
        <f>SUM(D237:D241)</f>
        <v>109474</v>
      </c>
      <c r="E242" s="20">
        <f>SUM(E237:E241)</f>
        <v>94039</v>
      </c>
      <c r="F242" s="20">
        <f>SUM(F237:F241)</f>
        <v>381132</v>
      </c>
      <c r="G242" s="82"/>
      <c r="I242" s="82"/>
    </row>
    <row r="243" spans="1:9" s="42" customFormat="1" x14ac:dyDescent="0.3">
      <c r="A243" s="69"/>
      <c r="B243" s="41"/>
      <c r="C243" s="41"/>
      <c r="D243" s="41"/>
      <c r="E243" s="41"/>
      <c r="F243" s="41"/>
    </row>
    <row r="244" spans="1:9" s="42" customFormat="1" x14ac:dyDescent="0.3">
      <c r="A244" s="12" t="s">
        <v>195</v>
      </c>
      <c r="B244" s="13" t="str">
        <f>B236</f>
        <v>Q1 FY 20</v>
      </c>
      <c r="C244" s="13" t="str">
        <f>C236</f>
        <v>Q2 FY 20</v>
      </c>
      <c r="D244" s="13" t="str">
        <f>D236</f>
        <v>Q3 FY 20</v>
      </c>
      <c r="E244" s="13" t="str">
        <f>E236</f>
        <v>Q4 FY 20</v>
      </c>
      <c r="F244" s="13" t="str">
        <f>F236</f>
        <v>YTD</v>
      </c>
    </row>
    <row r="245" spans="1:9" s="42" customFormat="1" x14ac:dyDescent="0.3">
      <c r="A245" s="15" t="s">
        <v>189</v>
      </c>
      <c r="B245" s="16">
        <f t="shared" ref="B245:F250" si="16">B237+B229</f>
        <v>25279</v>
      </c>
      <c r="C245" s="16">
        <f t="shared" si="16"/>
        <v>28866</v>
      </c>
      <c r="D245" s="16">
        <f t="shared" si="16"/>
        <v>23428</v>
      </c>
      <c r="E245" s="16">
        <f t="shared" si="16"/>
        <v>32494</v>
      </c>
      <c r="F245" s="16">
        <f t="shared" si="16"/>
        <v>110067</v>
      </c>
    </row>
    <row r="246" spans="1:9" s="42" customFormat="1" x14ac:dyDescent="0.3">
      <c r="A246" s="15" t="s">
        <v>190</v>
      </c>
      <c r="B246" s="16">
        <f t="shared" si="16"/>
        <v>25977</v>
      </c>
      <c r="C246" s="16">
        <f t="shared" si="16"/>
        <v>33189</v>
      </c>
      <c r="D246" s="16">
        <f t="shared" si="16"/>
        <v>43474</v>
      </c>
      <c r="E246" s="16">
        <f t="shared" si="16"/>
        <v>33126</v>
      </c>
      <c r="F246" s="16">
        <f t="shared" si="16"/>
        <v>135766</v>
      </c>
    </row>
    <row r="247" spans="1:9" s="42" customFormat="1" x14ac:dyDescent="0.3">
      <c r="A247" s="15" t="s">
        <v>191</v>
      </c>
      <c r="B247" s="16">
        <f t="shared" si="16"/>
        <v>25357</v>
      </c>
      <c r="C247" s="16">
        <f t="shared" si="16"/>
        <v>26878</v>
      </c>
      <c r="D247" s="16">
        <f t="shared" si="16"/>
        <v>29435</v>
      </c>
      <c r="E247" s="16">
        <f t="shared" si="16"/>
        <v>31600</v>
      </c>
      <c r="F247" s="16">
        <f t="shared" si="16"/>
        <v>113270</v>
      </c>
    </row>
    <row r="248" spans="1:9" s="42" customFormat="1" x14ac:dyDescent="0.3">
      <c r="A248" s="15" t="s">
        <v>198</v>
      </c>
      <c r="B248" s="16">
        <f t="shared" si="16"/>
        <v>24161</v>
      </c>
      <c r="C248" s="16">
        <f t="shared" si="16"/>
        <v>23810</v>
      </c>
      <c r="D248" s="16">
        <f t="shared" si="16"/>
        <v>27737</v>
      </c>
      <c r="E248" s="16">
        <f t="shared" si="16"/>
        <v>12054</v>
      </c>
      <c r="F248" s="16">
        <f t="shared" si="16"/>
        <v>87762</v>
      </c>
      <c r="G248" s="82"/>
      <c r="H248" s="82"/>
    </row>
    <row r="249" spans="1:9" s="42" customFormat="1" x14ac:dyDescent="0.3">
      <c r="A249" s="15" t="s">
        <v>193</v>
      </c>
      <c r="B249" s="16">
        <f t="shared" si="16"/>
        <v>17776</v>
      </c>
      <c r="C249" s="16">
        <f t="shared" si="16"/>
        <v>21746</v>
      </c>
      <c r="D249" s="16">
        <f t="shared" si="16"/>
        <v>21310</v>
      </c>
      <c r="E249" s="16">
        <f t="shared" si="16"/>
        <v>17705</v>
      </c>
      <c r="F249" s="16">
        <f t="shared" si="16"/>
        <v>78537</v>
      </c>
    </row>
    <row r="250" spans="1:9" s="42" customFormat="1" x14ac:dyDescent="0.3">
      <c r="A250" s="18" t="s">
        <v>196</v>
      </c>
      <c r="B250" s="83">
        <f t="shared" si="16"/>
        <v>118550</v>
      </c>
      <c r="C250" s="83">
        <f t="shared" si="16"/>
        <v>134489</v>
      </c>
      <c r="D250" s="83">
        <f t="shared" si="16"/>
        <v>145384</v>
      </c>
      <c r="E250" s="83">
        <f t="shared" si="16"/>
        <v>126979</v>
      </c>
      <c r="F250" s="83">
        <f t="shared" si="16"/>
        <v>525402</v>
      </c>
      <c r="H250" s="84"/>
      <c r="I250" s="85"/>
    </row>
    <row r="251" spans="1:9" x14ac:dyDescent="0.3">
      <c r="C251" s="72"/>
    </row>
    <row r="252" spans="1:9" s="42" customFormat="1" x14ac:dyDescent="0.3">
      <c r="A252" s="86" t="s">
        <v>199</v>
      </c>
      <c r="B252" s="39">
        <v>14360</v>
      </c>
      <c r="C252" s="39">
        <v>13365</v>
      </c>
      <c r="D252" s="39">
        <v>15437</v>
      </c>
      <c r="E252" s="39">
        <v>6288</v>
      </c>
      <c r="F252" s="39">
        <f>SUM(B252:E252)</f>
        <v>49450</v>
      </c>
      <c r="G252" s="84"/>
    </row>
    <row r="253" spans="1:9" s="42" customFormat="1" x14ac:dyDescent="0.3">
      <c r="A253" s="73"/>
      <c r="B253" s="74"/>
      <c r="C253" s="74"/>
      <c r="D253" s="74"/>
      <c r="E253" s="74"/>
      <c r="F253" s="74"/>
    </row>
    <row r="254" spans="1:9" s="77" customFormat="1" ht="6" customHeight="1" x14ac:dyDescent="0.3">
      <c r="A254" s="75"/>
      <c r="B254" s="76"/>
      <c r="C254" s="76"/>
      <c r="D254" s="76"/>
      <c r="E254" s="76"/>
      <c r="F254" s="76"/>
    </row>
    <row r="255" spans="1:9" x14ac:dyDescent="0.3">
      <c r="A255" s="47" t="s">
        <v>188</v>
      </c>
    </row>
    <row r="256" spans="1:9" x14ac:dyDescent="0.3">
      <c r="A256" s="80"/>
    </row>
    <row r="257" spans="1:9" s="42" customFormat="1" x14ac:dyDescent="0.3">
      <c r="A257" s="11" t="s">
        <v>96</v>
      </c>
      <c r="B257" s="41"/>
      <c r="C257" s="41"/>
      <c r="D257" s="41"/>
      <c r="E257" s="41"/>
      <c r="F257" s="41"/>
    </row>
    <row r="258" spans="1:9" s="42" customFormat="1" x14ac:dyDescent="0.3">
      <c r="A258" s="29"/>
      <c r="B258" s="41"/>
      <c r="C258" s="41"/>
      <c r="D258" s="41"/>
      <c r="E258" s="41"/>
      <c r="F258" s="41"/>
    </row>
    <row r="259" spans="1:9" s="42" customFormat="1" x14ac:dyDescent="0.3">
      <c r="A259" s="12" t="s">
        <v>33</v>
      </c>
      <c r="B259" s="30" t="s">
        <v>97</v>
      </c>
      <c r="C259" s="30" t="s">
        <v>98</v>
      </c>
      <c r="D259" s="30" t="s">
        <v>99</v>
      </c>
      <c r="E259" s="30" t="s">
        <v>100</v>
      </c>
      <c r="F259" s="30" t="s">
        <v>20</v>
      </c>
    </row>
    <row r="260" spans="1:9" s="42" customFormat="1" x14ac:dyDescent="0.3">
      <c r="A260" s="15" t="s">
        <v>189</v>
      </c>
      <c r="B260" s="16">
        <v>7726</v>
      </c>
      <c r="C260" s="16">
        <v>11310</v>
      </c>
      <c r="D260" s="16">
        <v>6696</v>
      </c>
      <c r="E260" s="16">
        <v>12993</v>
      </c>
      <c r="F260" s="16">
        <f>B260+C260+D260+E260</f>
        <v>38725</v>
      </c>
    </row>
    <row r="261" spans="1:9" s="42" customFormat="1" x14ac:dyDescent="0.3">
      <c r="A261" s="15" t="s">
        <v>190</v>
      </c>
      <c r="B261" s="16">
        <v>6476</v>
      </c>
      <c r="C261" s="16">
        <v>8528</v>
      </c>
      <c r="D261" s="16">
        <v>10782</v>
      </c>
      <c r="E261" s="16">
        <v>8596</v>
      </c>
      <c r="F261" s="16">
        <f>B261+C261+D261+E261</f>
        <v>34382</v>
      </c>
    </row>
    <row r="262" spans="1:9" s="42" customFormat="1" x14ac:dyDescent="0.3">
      <c r="A262" s="15" t="s">
        <v>191</v>
      </c>
      <c r="B262" s="16">
        <v>9718</v>
      </c>
      <c r="C262" s="16">
        <v>11051</v>
      </c>
      <c r="D262" s="16">
        <v>13278</v>
      </c>
      <c r="E262" s="16">
        <v>15496</v>
      </c>
      <c r="F262" s="16">
        <f>B262+C262+D262+E262</f>
        <v>49543</v>
      </c>
    </row>
    <row r="263" spans="1:9" s="42" customFormat="1" x14ac:dyDescent="0.3">
      <c r="A263" s="15" t="s">
        <v>198</v>
      </c>
      <c r="B263" s="16">
        <v>11037</v>
      </c>
      <c r="C263" s="16">
        <f>2495+6473</f>
        <v>8968</v>
      </c>
      <c r="D263" s="16">
        <f>2021+5017</f>
        <v>7038</v>
      </c>
      <c r="E263" s="16">
        <f>1887+3589</f>
        <v>5476</v>
      </c>
      <c r="F263" s="16">
        <f>B263+C263+D263+E263</f>
        <v>32519</v>
      </c>
    </row>
    <row r="264" spans="1:9" s="42" customFormat="1" x14ac:dyDescent="0.3">
      <c r="A264" s="15" t="s">
        <v>193</v>
      </c>
      <c r="B264" s="16">
        <v>5591</v>
      </c>
      <c r="C264" s="16">
        <v>5655</v>
      </c>
      <c r="D264" s="16">
        <v>4781</v>
      </c>
      <c r="E264" s="16">
        <v>6254</v>
      </c>
      <c r="F264" s="16">
        <f>B264+C264+D264+E264</f>
        <v>22281</v>
      </c>
    </row>
    <row r="265" spans="1:9" s="42" customFormat="1" x14ac:dyDescent="0.3">
      <c r="A265" s="18" t="s">
        <v>41</v>
      </c>
      <c r="B265" s="20">
        <f>SUM(B260:B264)</f>
        <v>40548</v>
      </c>
      <c r="C265" s="20">
        <f>SUM(C260:C264)</f>
        <v>45512</v>
      </c>
      <c r="D265" s="20">
        <f>SUM(D260:D264)</f>
        <v>42575</v>
      </c>
      <c r="E265" s="20">
        <f>SUM(E260:E264)</f>
        <v>48815</v>
      </c>
      <c r="F265" s="20">
        <f>SUM(F260:F264)</f>
        <v>177450</v>
      </c>
      <c r="I265" s="82"/>
    </row>
    <row r="266" spans="1:9" s="42" customFormat="1" x14ac:dyDescent="0.3">
      <c r="A266" s="69"/>
      <c r="B266" s="41"/>
      <c r="C266" s="41"/>
      <c r="D266" s="41"/>
      <c r="E266" s="41"/>
      <c r="F266" s="41"/>
    </row>
    <row r="267" spans="1:9" s="42" customFormat="1" x14ac:dyDescent="0.3">
      <c r="A267" s="12" t="s">
        <v>72</v>
      </c>
      <c r="B267" s="13" t="str">
        <f>B259</f>
        <v>Q1 FY19</v>
      </c>
      <c r="C267" s="13" t="str">
        <f>C259</f>
        <v>Q2 FY19</v>
      </c>
      <c r="D267" s="13" t="str">
        <f>D259</f>
        <v>Q3 FY19</v>
      </c>
      <c r="E267" s="13" t="str">
        <f>E259</f>
        <v>Q4 FY19</v>
      </c>
      <c r="F267" s="13" t="str">
        <f>F259</f>
        <v>YTD</v>
      </c>
    </row>
    <row r="268" spans="1:9" s="42" customFormat="1" x14ac:dyDescent="0.3">
      <c r="A268" s="15" t="s">
        <v>189</v>
      </c>
      <c r="B268" s="16">
        <v>14298</v>
      </c>
      <c r="C268" s="16">
        <v>20297</v>
      </c>
      <c r="D268" s="16">
        <v>18616</v>
      </c>
      <c r="E268" s="16">
        <v>26798</v>
      </c>
      <c r="F268" s="16">
        <f>B268+C268+D268+E268</f>
        <v>80009</v>
      </c>
    </row>
    <row r="269" spans="1:9" s="42" customFormat="1" x14ac:dyDescent="0.3">
      <c r="A269" s="15" t="s">
        <v>190</v>
      </c>
      <c r="B269" s="16">
        <v>21069</v>
      </c>
      <c r="C269" s="16">
        <v>19751</v>
      </c>
      <c r="D269" s="16">
        <v>28616</v>
      </c>
      <c r="E269" s="16">
        <v>29419</v>
      </c>
      <c r="F269" s="16">
        <f>B269+C269+D269+E269</f>
        <v>98855</v>
      </c>
    </row>
    <row r="270" spans="1:9" s="42" customFormat="1" x14ac:dyDescent="0.3">
      <c r="A270" s="15" t="s">
        <v>191</v>
      </c>
      <c r="B270" s="16">
        <v>16449</v>
      </c>
      <c r="C270" s="16">
        <v>14299</v>
      </c>
      <c r="D270" s="16">
        <v>21726</v>
      </c>
      <c r="E270" s="16">
        <v>22231</v>
      </c>
      <c r="F270" s="16">
        <f>B270+C270+D270+E270</f>
        <v>74705</v>
      </c>
    </row>
    <row r="271" spans="1:9" s="42" customFormat="1" x14ac:dyDescent="0.3">
      <c r="A271" s="15" t="s">
        <v>198</v>
      </c>
      <c r="B271" s="16">
        <v>21950</v>
      </c>
      <c r="C271" s="16">
        <f>8152+6562</f>
        <v>14714</v>
      </c>
      <c r="D271" s="16">
        <f>7115+6519</f>
        <v>13634</v>
      </c>
      <c r="E271" s="16">
        <f>8283+6496</f>
        <v>14779</v>
      </c>
      <c r="F271" s="16">
        <f>B271+C271+D271+E271</f>
        <v>65077</v>
      </c>
    </row>
    <row r="272" spans="1:9" s="42" customFormat="1" x14ac:dyDescent="0.3">
      <c r="A272" s="15" t="s">
        <v>193</v>
      </c>
      <c r="B272" s="16">
        <v>17246</v>
      </c>
      <c r="C272" s="16">
        <v>16079</v>
      </c>
      <c r="D272" s="16">
        <v>16385</v>
      </c>
      <c r="E272" s="16">
        <v>19500</v>
      </c>
      <c r="F272" s="16">
        <f>B272+C272+D272+E272</f>
        <v>69210</v>
      </c>
    </row>
    <row r="273" spans="1:9" s="42" customFormat="1" x14ac:dyDescent="0.3">
      <c r="A273" s="18" t="s">
        <v>65</v>
      </c>
      <c r="B273" s="20">
        <f>SUM(B268:B272)</f>
        <v>91012</v>
      </c>
      <c r="C273" s="20">
        <f>SUM(C268:C272)</f>
        <v>85140</v>
      </c>
      <c r="D273" s="20">
        <f>SUM(D268:D272)</f>
        <v>98977</v>
      </c>
      <c r="E273" s="20">
        <f>SUM(E268:E272)</f>
        <v>112727</v>
      </c>
      <c r="F273" s="20">
        <f>SUM(F268:F272)</f>
        <v>387856</v>
      </c>
      <c r="G273" s="82"/>
      <c r="I273" s="82"/>
    </row>
    <row r="274" spans="1:9" s="42" customFormat="1" x14ac:dyDescent="0.3">
      <c r="A274" s="69"/>
      <c r="B274" s="41"/>
      <c r="C274" s="41"/>
      <c r="D274" s="41"/>
      <c r="E274" s="41"/>
      <c r="F274" s="41"/>
    </row>
    <row r="275" spans="1:9" s="42" customFormat="1" x14ac:dyDescent="0.3">
      <c r="A275" s="12" t="s">
        <v>195</v>
      </c>
      <c r="B275" s="13" t="str">
        <f>B267</f>
        <v>Q1 FY19</v>
      </c>
      <c r="C275" s="13" t="str">
        <f>C267</f>
        <v>Q2 FY19</v>
      </c>
      <c r="D275" s="13" t="str">
        <f>D267</f>
        <v>Q3 FY19</v>
      </c>
      <c r="E275" s="13" t="str">
        <f>E267</f>
        <v>Q4 FY19</v>
      </c>
      <c r="F275" s="13" t="str">
        <f>F267</f>
        <v>YTD</v>
      </c>
    </row>
    <row r="276" spans="1:9" s="42" customFormat="1" x14ac:dyDescent="0.3">
      <c r="A276" s="15" t="s">
        <v>189</v>
      </c>
      <c r="B276" s="16">
        <f t="shared" ref="B276:F281" si="17">B268+B260</f>
        <v>22024</v>
      </c>
      <c r="C276" s="16">
        <f t="shared" si="17"/>
        <v>31607</v>
      </c>
      <c r="D276" s="16">
        <f t="shared" si="17"/>
        <v>25312</v>
      </c>
      <c r="E276" s="16">
        <f t="shared" si="17"/>
        <v>39791</v>
      </c>
      <c r="F276" s="16">
        <f t="shared" si="17"/>
        <v>118734</v>
      </c>
    </row>
    <row r="277" spans="1:9" s="42" customFormat="1" x14ac:dyDescent="0.3">
      <c r="A277" s="15" t="s">
        <v>190</v>
      </c>
      <c r="B277" s="16">
        <f t="shared" si="17"/>
        <v>27545</v>
      </c>
      <c r="C277" s="16">
        <f t="shared" si="17"/>
        <v>28279</v>
      </c>
      <c r="D277" s="16">
        <f t="shared" si="17"/>
        <v>39398</v>
      </c>
      <c r="E277" s="16">
        <f t="shared" si="17"/>
        <v>38015</v>
      </c>
      <c r="F277" s="16">
        <f t="shared" si="17"/>
        <v>133237</v>
      </c>
    </row>
    <row r="278" spans="1:9" s="42" customFormat="1" x14ac:dyDescent="0.3">
      <c r="A278" s="15" t="s">
        <v>191</v>
      </c>
      <c r="B278" s="16">
        <f t="shared" si="17"/>
        <v>26167</v>
      </c>
      <c r="C278" s="16">
        <f t="shared" si="17"/>
        <v>25350</v>
      </c>
      <c r="D278" s="16">
        <f t="shared" si="17"/>
        <v>35004</v>
      </c>
      <c r="E278" s="16">
        <f t="shared" si="17"/>
        <v>37727</v>
      </c>
      <c r="F278" s="16">
        <f t="shared" si="17"/>
        <v>124248</v>
      </c>
    </row>
    <row r="279" spans="1:9" s="42" customFormat="1" x14ac:dyDescent="0.3">
      <c r="A279" s="15" t="s">
        <v>198</v>
      </c>
      <c r="B279" s="16">
        <f t="shared" si="17"/>
        <v>32987</v>
      </c>
      <c r="C279" s="16">
        <f t="shared" si="17"/>
        <v>23682</v>
      </c>
      <c r="D279" s="16">
        <f t="shared" si="17"/>
        <v>20672</v>
      </c>
      <c r="E279" s="16">
        <f t="shared" si="17"/>
        <v>20255</v>
      </c>
      <c r="F279" s="16">
        <f t="shared" si="17"/>
        <v>97596</v>
      </c>
      <c r="G279" s="82"/>
      <c r="H279" s="82"/>
    </row>
    <row r="280" spans="1:9" s="42" customFormat="1" x14ac:dyDescent="0.3">
      <c r="A280" s="15" t="s">
        <v>193</v>
      </c>
      <c r="B280" s="16">
        <f t="shared" si="17"/>
        <v>22837</v>
      </c>
      <c r="C280" s="16">
        <f t="shared" si="17"/>
        <v>21734</v>
      </c>
      <c r="D280" s="16">
        <f t="shared" si="17"/>
        <v>21166</v>
      </c>
      <c r="E280" s="16">
        <f t="shared" si="17"/>
        <v>25754</v>
      </c>
      <c r="F280" s="16">
        <f t="shared" si="17"/>
        <v>91491</v>
      </c>
    </row>
    <row r="281" spans="1:9" s="42" customFormat="1" x14ac:dyDescent="0.3">
      <c r="A281" s="18" t="s">
        <v>196</v>
      </c>
      <c r="B281" s="83">
        <f t="shared" si="17"/>
        <v>131560</v>
      </c>
      <c r="C281" s="83">
        <f t="shared" si="17"/>
        <v>130652</v>
      </c>
      <c r="D281" s="83">
        <f t="shared" si="17"/>
        <v>141552</v>
      </c>
      <c r="E281" s="83">
        <f t="shared" si="17"/>
        <v>161542</v>
      </c>
      <c r="F281" s="83">
        <f t="shared" si="17"/>
        <v>565306</v>
      </c>
      <c r="H281" s="84"/>
      <c r="I281" s="85"/>
    </row>
    <row r="282" spans="1:9" x14ac:dyDescent="0.3">
      <c r="C282" s="72"/>
    </row>
    <row r="283" spans="1:9" s="42" customFormat="1" x14ac:dyDescent="0.3">
      <c r="A283" s="86" t="s">
        <v>199</v>
      </c>
      <c r="B283" s="39">
        <v>22772</v>
      </c>
      <c r="C283" s="39">
        <v>13035</v>
      </c>
      <c r="D283" s="39">
        <v>11536</v>
      </c>
      <c r="E283" s="39">
        <v>10085</v>
      </c>
      <c r="F283" s="39">
        <f>SUM(B283:E283)</f>
        <v>57428</v>
      </c>
    </row>
    <row r="284" spans="1:9" s="42" customFormat="1" x14ac:dyDescent="0.3">
      <c r="A284" s="73"/>
      <c r="B284" s="74"/>
      <c r="C284" s="74"/>
      <c r="D284" s="74"/>
      <c r="E284" s="74"/>
      <c r="F284" s="74"/>
    </row>
    <row r="285" spans="1:9" s="77" customFormat="1" ht="6" customHeight="1" x14ac:dyDescent="0.3">
      <c r="A285" s="75"/>
      <c r="B285" s="76"/>
      <c r="C285" s="76"/>
      <c r="D285" s="76"/>
      <c r="E285" s="76"/>
      <c r="F285" s="76"/>
    </row>
    <row r="286" spans="1:9" x14ac:dyDescent="0.3">
      <c r="A286" s="47" t="s">
        <v>188</v>
      </c>
    </row>
    <row r="287" spans="1:9" x14ac:dyDescent="0.3">
      <c r="A287" s="80"/>
    </row>
    <row r="288" spans="1:9" s="42" customFormat="1" x14ac:dyDescent="0.3">
      <c r="A288" s="11" t="s">
        <v>102</v>
      </c>
      <c r="B288" s="41"/>
      <c r="C288" s="41"/>
      <c r="D288" s="41"/>
      <c r="E288" s="41"/>
      <c r="F288" s="41"/>
    </row>
    <row r="289" spans="1:9" s="42" customFormat="1" x14ac:dyDescent="0.3">
      <c r="A289" s="29"/>
      <c r="B289" s="41"/>
      <c r="C289" s="41"/>
      <c r="D289" s="41"/>
      <c r="E289" s="41"/>
      <c r="F289" s="41"/>
    </row>
    <row r="290" spans="1:9" s="42" customFormat="1" x14ac:dyDescent="0.3">
      <c r="A290" s="12" t="s">
        <v>33</v>
      </c>
      <c r="B290" s="30" t="s">
        <v>200</v>
      </c>
      <c r="C290" s="30" t="s">
        <v>201</v>
      </c>
      <c r="D290" s="30" t="s">
        <v>202</v>
      </c>
      <c r="E290" s="30" t="s">
        <v>203</v>
      </c>
      <c r="F290" s="30" t="s">
        <v>20</v>
      </c>
    </row>
    <row r="291" spans="1:9" s="42" customFormat="1" x14ac:dyDescent="0.3">
      <c r="A291" s="15" t="s">
        <v>189</v>
      </c>
      <c r="B291" s="16">
        <v>8601</v>
      </c>
      <c r="C291" s="16">
        <v>9236</v>
      </c>
      <c r="D291" s="16">
        <v>5817</v>
      </c>
      <c r="E291" s="16">
        <v>11006</v>
      </c>
      <c r="F291" s="16">
        <f>B291+C291+D291+E291</f>
        <v>34660</v>
      </c>
    </row>
    <row r="292" spans="1:9" s="42" customFormat="1" x14ac:dyDescent="0.3">
      <c r="A292" s="15" t="s">
        <v>190</v>
      </c>
      <c r="B292" s="16">
        <v>7587</v>
      </c>
      <c r="C292" s="16">
        <v>10678</v>
      </c>
      <c r="D292" s="16">
        <v>10000</v>
      </c>
      <c r="E292" s="16">
        <v>9863</v>
      </c>
      <c r="F292" s="16">
        <f>B292+C292+D292+E292</f>
        <v>38128</v>
      </c>
    </row>
    <row r="293" spans="1:9" s="42" customFormat="1" x14ac:dyDescent="0.3">
      <c r="A293" s="15" t="s">
        <v>191</v>
      </c>
      <c r="B293" s="16">
        <v>7323</v>
      </c>
      <c r="C293" s="16">
        <v>6553</v>
      </c>
      <c r="D293" s="16">
        <v>8816</v>
      </c>
      <c r="E293" s="16">
        <v>13772</v>
      </c>
      <c r="F293" s="16">
        <f>B293+C293+D293+E293</f>
        <v>36464</v>
      </c>
    </row>
    <row r="294" spans="1:9" s="42" customFormat="1" x14ac:dyDescent="0.3">
      <c r="A294" s="15" t="s">
        <v>198</v>
      </c>
      <c r="B294" s="16">
        <v>10597</v>
      </c>
      <c r="C294" s="16">
        <v>11783</v>
      </c>
      <c r="D294" s="16">
        <f>4660+7835</f>
        <v>12495</v>
      </c>
      <c r="E294" s="16">
        <f>4526+7204</f>
        <v>11730</v>
      </c>
      <c r="F294" s="16">
        <f>B294+C294+D294+E294</f>
        <v>46605</v>
      </c>
    </row>
    <row r="295" spans="1:9" s="42" customFormat="1" x14ac:dyDescent="0.3">
      <c r="A295" s="15" t="s">
        <v>193</v>
      </c>
      <c r="B295" s="16">
        <v>3615</v>
      </c>
      <c r="C295" s="16">
        <v>4464</v>
      </c>
      <c r="D295" s="16">
        <v>5280</v>
      </c>
      <c r="E295" s="16">
        <v>7030</v>
      </c>
      <c r="F295" s="16">
        <f>B295+C295+D295+E295</f>
        <v>20389</v>
      </c>
    </row>
    <row r="296" spans="1:9" s="42" customFormat="1" x14ac:dyDescent="0.3">
      <c r="A296" s="18" t="s">
        <v>41</v>
      </c>
      <c r="B296" s="20">
        <f>SUM(B291:B295)</f>
        <v>37723</v>
      </c>
      <c r="C296" s="20">
        <f>SUM(C291:C295)</f>
        <v>42714</v>
      </c>
      <c r="D296" s="20">
        <f>SUM(D291:D295)</f>
        <v>42408</v>
      </c>
      <c r="E296" s="20">
        <f>SUM(E291:E295)</f>
        <v>53401</v>
      </c>
      <c r="F296" s="20">
        <f>SUM(F291:F295)</f>
        <v>176246</v>
      </c>
      <c r="I296" s="82"/>
    </row>
    <row r="297" spans="1:9" s="42" customFormat="1" x14ac:dyDescent="0.3">
      <c r="A297" s="69"/>
      <c r="B297" s="41"/>
      <c r="C297" s="41"/>
      <c r="D297" s="41"/>
      <c r="E297" s="41"/>
      <c r="F297" s="41"/>
    </row>
    <row r="298" spans="1:9" s="42" customFormat="1" x14ac:dyDescent="0.3">
      <c r="A298" s="12" t="s">
        <v>72</v>
      </c>
      <c r="B298" s="13" t="str">
        <f>B290</f>
        <v>Q1 FY18</v>
      </c>
      <c r="C298" s="13" t="str">
        <f>C290</f>
        <v>Q2 FY18</v>
      </c>
      <c r="D298" s="13" t="str">
        <f>D290</f>
        <v>Q3 FY18</v>
      </c>
      <c r="E298" s="13" t="str">
        <f>E290</f>
        <v>Q4 FY18</v>
      </c>
      <c r="F298" s="13" t="str">
        <f>F290</f>
        <v>YTD</v>
      </c>
    </row>
    <row r="299" spans="1:9" s="42" customFormat="1" x14ac:dyDescent="0.3">
      <c r="A299" s="15" t="s">
        <v>189</v>
      </c>
      <c r="B299" s="16">
        <v>17240</v>
      </c>
      <c r="C299" s="16">
        <v>25396</v>
      </c>
      <c r="D299" s="16">
        <v>15991</v>
      </c>
      <c r="E299" s="16">
        <v>20787</v>
      </c>
      <c r="F299" s="16">
        <f>B299+C299+D299+E299</f>
        <v>79414</v>
      </c>
    </row>
    <row r="300" spans="1:9" s="42" customFormat="1" x14ac:dyDescent="0.3">
      <c r="A300" s="15" t="s">
        <v>190</v>
      </c>
      <c r="B300" s="16">
        <v>21851</v>
      </c>
      <c r="C300" s="16">
        <v>17927</v>
      </c>
      <c r="D300" s="16">
        <v>23983</v>
      </c>
      <c r="E300" s="16">
        <v>34558</v>
      </c>
      <c r="F300" s="16">
        <f>B300+C300+D300+E300</f>
        <v>98319</v>
      </c>
    </row>
    <row r="301" spans="1:9" s="42" customFormat="1" x14ac:dyDescent="0.3">
      <c r="A301" s="15" t="s">
        <v>191</v>
      </c>
      <c r="B301" s="16">
        <v>23958</v>
      </c>
      <c r="C301" s="16">
        <v>22452</v>
      </c>
      <c r="D301" s="16">
        <v>23898</v>
      </c>
      <c r="E301" s="16">
        <v>25541</v>
      </c>
      <c r="F301" s="16">
        <f>B301+C301+D301+E301</f>
        <v>95849</v>
      </c>
    </row>
    <row r="302" spans="1:9" s="42" customFormat="1" x14ac:dyDescent="0.3">
      <c r="A302" s="15" t="s">
        <v>198</v>
      </c>
      <c r="B302" s="16">
        <v>23663</v>
      </c>
      <c r="C302" s="16">
        <v>27284</v>
      </c>
      <c r="D302" s="16">
        <f>13714+17493</f>
        <v>31207</v>
      </c>
      <c r="E302" s="16">
        <f>11822+13244</f>
        <v>25066</v>
      </c>
      <c r="F302" s="16">
        <f>B302+C302+D302+E302</f>
        <v>107220</v>
      </c>
    </row>
    <row r="303" spans="1:9" s="42" customFormat="1" x14ac:dyDescent="0.3">
      <c r="A303" s="15" t="s">
        <v>193</v>
      </c>
      <c r="B303" s="16">
        <v>14041</v>
      </c>
      <c r="C303" s="16">
        <v>17437</v>
      </c>
      <c r="D303" s="16">
        <v>21580</v>
      </c>
      <c r="E303" s="16">
        <v>23404</v>
      </c>
      <c r="F303" s="16">
        <f>B303+C303+D303+E303</f>
        <v>76462</v>
      </c>
    </row>
    <row r="304" spans="1:9" s="42" customFormat="1" x14ac:dyDescent="0.3">
      <c r="A304" s="18" t="s">
        <v>65</v>
      </c>
      <c r="B304" s="20">
        <f>SUM(B299:B303)</f>
        <v>100753</v>
      </c>
      <c r="C304" s="20">
        <f>SUM(C299:C303)</f>
        <v>110496</v>
      </c>
      <c r="D304" s="20">
        <f>SUM(D299:D303)</f>
        <v>116659</v>
      </c>
      <c r="E304" s="20">
        <f>SUM(E299:E303)</f>
        <v>129356</v>
      </c>
      <c r="F304" s="20">
        <f>SUM(F299:F303)</f>
        <v>457264</v>
      </c>
      <c r="G304" s="82"/>
      <c r="I304" s="82"/>
    </row>
    <row r="305" spans="1:9" s="42" customFormat="1" x14ac:dyDescent="0.3">
      <c r="A305" s="69"/>
      <c r="B305" s="41"/>
      <c r="C305" s="41"/>
      <c r="D305" s="41"/>
      <c r="E305" s="41"/>
      <c r="F305" s="41"/>
    </row>
    <row r="306" spans="1:9" s="42" customFormat="1" x14ac:dyDescent="0.3">
      <c r="A306" s="12" t="s">
        <v>195</v>
      </c>
      <c r="B306" s="13" t="str">
        <f>B298</f>
        <v>Q1 FY18</v>
      </c>
      <c r="C306" s="13" t="str">
        <f>C298</f>
        <v>Q2 FY18</v>
      </c>
      <c r="D306" s="13" t="str">
        <f>D298</f>
        <v>Q3 FY18</v>
      </c>
      <c r="E306" s="13" t="s">
        <v>204</v>
      </c>
      <c r="F306" s="13" t="str">
        <f>F298</f>
        <v>YTD</v>
      </c>
    </row>
    <row r="307" spans="1:9" s="42" customFormat="1" x14ac:dyDescent="0.3">
      <c r="A307" s="15" t="s">
        <v>189</v>
      </c>
      <c r="B307" s="16">
        <f t="shared" ref="B307:F312" si="18">B299+B291</f>
        <v>25841</v>
      </c>
      <c r="C307" s="16">
        <f t="shared" si="18"/>
        <v>34632</v>
      </c>
      <c r="D307" s="16">
        <f t="shared" si="18"/>
        <v>21808</v>
      </c>
      <c r="E307" s="16">
        <f t="shared" si="18"/>
        <v>31793</v>
      </c>
      <c r="F307" s="16">
        <f t="shared" si="18"/>
        <v>114074</v>
      </c>
    </row>
    <row r="308" spans="1:9" s="42" customFormat="1" x14ac:dyDescent="0.3">
      <c r="A308" s="15" t="s">
        <v>190</v>
      </c>
      <c r="B308" s="16">
        <f t="shared" si="18"/>
        <v>29438</v>
      </c>
      <c r="C308" s="16">
        <f t="shared" si="18"/>
        <v>28605</v>
      </c>
      <c r="D308" s="16">
        <f t="shared" si="18"/>
        <v>33983</v>
      </c>
      <c r="E308" s="16">
        <f t="shared" si="18"/>
        <v>44421</v>
      </c>
      <c r="F308" s="16">
        <f t="shared" si="18"/>
        <v>136447</v>
      </c>
    </row>
    <row r="309" spans="1:9" s="42" customFormat="1" x14ac:dyDescent="0.3">
      <c r="A309" s="15" t="s">
        <v>191</v>
      </c>
      <c r="B309" s="16">
        <f t="shared" si="18"/>
        <v>31281</v>
      </c>
      <c r="C309" s="16">
        <f t="shared" si="18"/>
        <v>29005</v>
      </c>
      <c r="D309" s="16">
        <f t="shared" si="18"/>
        <v>32714</v>
      </c>
      <c r="E309" s="16">
        <f t="shared" si="18"/>
        <v>39313</v>
      </c>
      <c r="F309" s="16">
        <f t="shared" si="18"/>
        <v>132313</v>
      </c>
    </row>
    <row r="310" spans="1:9" s="42" customFormat="1" x14ac:dyDescent="0.3">
      <c r="A310" s="15" t="s">
        <v>198</v>
      </c>
      <c r="B310" s="16">
        <f t="shared" si="18"/>
        <v>34260</v>
      </c>
      <c r="C310" s="16">
        <f t="shared" si="18"/>
        <v>39067</v>
      </c>
      <c r="D310" s="16">
        <f t="shared" si="18"/>
        <v>43702</v>
      </c>
      <c r="E310" s="16">
        <f t="shared" si="18"/>
        <v>36796</v>
      </c>
      <c r="F310" s="16">
        <f t="shared" si="18"/>
        <v>153825</v>
      </c>
      <c r="G310" s="82"/>
      <c r="H310" s="82"/>
    </row>
    <row r="311" spans="1:9" s="42" customFormat="1" x14ac:dyDescent="0.3">
      <c r="A311" s="15" t="s">
        <v>193</v>
      </c>
      <c r="B311" s="16">
        <f t="shared" si="18"/>
        <v>17656</v>
      </c>
      <c r="C311" s="16">
        <f t="shared" si="18"/>
        <v>21901</v>
      </c>
      <c r="D311" s="16">
        <f t="shared" si="18"/>
        <v>26860</v>
      </c>
      <c r="E311" s="16">
        <f t="shared" si="18"/>
        <v>30434</v>
      </c>
      <c r="F311" s="16">
        <f t="shared" si="18"/>
        <v>96851</v>
      </c>
    </row>
    <row r="312" spans="1:9" s="42" customFormat="1" x14ac:dyDescent="0.3">
      <c r="A312" s="18" t="s">
        <v>196</v>
      </c>
      <c r="B312" s="83">
        <f t="shared" si="18"/>
        <v>138476</v>
      </c>
      <c r="C312" s="83">
        <f t="shared" si="18"/>
        <v>153210</v>
      </c>
      <c r="D312" s="83">
        <f t="shared" si="18"/>
        <v>159067</v>
      </c>
      <c r="E312" s="83">
        <f t="shared" si="18"/>
        <v>182757</v>
      </c>
      <c r="F312" s="83">
        <f t="shared" si="18"/>
        <v>633510</v>
      </c>
      <c r="H312" s="84"/>
      <c r="I312" s="85"/>
    </row>
    <row r="313" spans="1:9" x14ac:dyDescent="0.3">
      <c r="C313" s="72"/>
    </row>
    <row r="314" spans="1:9" s="42" customFormat="1" x14ac:dyDescent="0.3">
      <c r="A314" s="86" t="s">
        <v>199</v>
      </c>
      <c r="B314" s="39">
        <v>20560</v>
      </c>
      <c r="C314" s="39">
        <v>21876</v>
      </c>
      <c r="D314" s="39">
        <v>25328</v>
      </c>
      <c r="E314" s="39">
        <v>20448</v>
      </c>
      <c r="F314" s="39">
        <f>SUM(B314:E314)</f>
        <v>88212</v>
      </c>
    </row>
    <row r="315" spans="1:9" s="42" customFormat="1" x14ac:dyDescent="0.3">
      <c r="A315" s="73"/>
      <c r="B315" s="74"/>
      <c r="C315" s="74"/>
      <c r="D315" s="74"/>
      <c r="E315" s="74"/>
      <c r="F315" s="74"/>
    </row>
    <row r="316" spans="1:9" s="77" customFormat="1" ht="6" customHeight="1" x14ac:dyDescent="0.3">
      <c r="A316" s="75"/>
      <c r="B316" s="76"/>
      <c r="C316" s="76"/>
      <c r="D316" s="76"/>
      <c r="E316" s="76"/>
      <c r="F316" s="76"/>
    </row>
    <row r="317" spans="1:9" s="42" customFormat="1" x14ac:dyDescent="0.3">
      <c r="A317" s="45"/>
    </row>
    <row r="318" spans="1:9" s="42" customFormat="1" x14ac:dyDescent="0.3">
      <c r="A318" s="11" t="s">
        <v>109</v>
      </c>
      <c r="B318" s="41"/>
      <c r="C318" s="41"/>
      <c r="D318" s="41"/>
      <c r="E318" s="41"/>
      <c r="F318" s="41"/>
    </row>
    <row r="319" spans="1:9" s="42" customFormat="1" x14ac:dyDescent="0.3">
      <c r="A319" s="29"/>
      <c r="B319" s="41"/>
      <c r="C319" s="41"/>
      <c r="D319" s="41"/>
      <c r="E319" s="41"/>
      <c r="F319" s="41"/>
    </row>
    <row r="320" spans="1:9" s="42" customFormat="1" x14ac:dyDescent="0.3">
      <c r="A320" s="12" t="s">
        <v>33</v>
      </c>
      <c r="B320" s="30" t="s">
        <v>205</v>
      </c>
      <c r="C320" s="30" t="s">
        <v>206</v>
      </c>
      <c r="D320" s="30" t="s">
        <v>207</v>
      </c>
      <c r="E320" s="30" t="s">
        <v>208</v>
      </c>
      <c r="F320" s="30" t="s">
        <v>20</v>
      </c>
    </row>
    <row r="321" spans="1:9" s="42" customFormat="1" x14ac:dyDescent="0.3">
      <c r="A321" s="15" t="s">
        <v>189</v>
      </c>
      <c r="B321" s="16">
        <v>6685</v>
      </c>
      <c r="C321" s="16">
        <v>8872</v>
      </c>
      <c r="D321" s="16">
        <v>6705</v>
      </c>
      <c r="E321" s="16">
        <v>12204</v>
      </c>
      <c r="F321" s="16">
        <f>B321+C321+D321+E321</f>
        <v>34466</v>
      </c>
    </row>
    <row r="322" spans="1:9" s="42" customFormat="1" x14ac:dyDescent="0.3">
      <c r="A322" s="15" t="s">
        <v>190</v>
      </c>
      <c r="B322" s="16">
        <v>8914</v>
      </c>
      <c r="C322" s="16">
        <v>12378</v>
      </c>
      <c r="D322" s="16">
        <v>15790</v>
      </c>
      <c r="E322" s="16">
        <v>12719</v>
      </c>
      <c r="F322" s="16">
        <f>B322+C322+D322+E322</f>
        <v>49801</v>
      </c>
    </row>
    <row r="323" spans="1:9" s="42" customFormat="1" x14ac:dyDescent="0.3">
      <c r="A323" s="15" t="s">
        <v>191</v>
      </c>
      <c r="B323" s="16">
        <v>9697</v>
      </c>
      <c r="C323" s="16">
        <v>9805</v>
      </c>
      <c r="D323" s="16">
        <v>9425</v>
      </c>
      <c r="E323" s="16">
        <v>12038</v>
      </c>
      <c r="F323" s="16">
        <f>B323+C323+D323+E323</f>
        <v>40965</v>
      </c>
    </row>
    <row r="324" spans="1:9" s="42" customFormat="1" x14ac:dyDescent="0.3">
      <c r="A324" s="15" t="s">
        <v>198</v>
      </c>
      <c r="B324" s="16">
        <v>4918</v>
      </c>
      <c r="C324" s="16">
        <v>6860</v>
      </c>
      <c r="D324" s="16">
        <v>10450</v>
      </c>
      <c r="E324" s="16">
        <v>8755</v>
      </c>
      <c r="F324" s="16">
        <f>B324+C324+D324+E324</f>
        <v>30983</v>
      </c>
    </row>
    <row r="325" spans="1:9" s="42" customFormat="1" x14ac:dyDescent="0.3">
      <c r="A325" s="15" t="s">
        <v>209</v>
      </c>
      <c r="B325" s="16">
        <v>4358</v>
      </c>
      <c r="C325" s="16">
        <v>5703</v>
      </c>
      <c r="D325" s="16">
        <v>6101</v>
      </c>
      <c r="E325" s="16">
        <v>6374</v>
      </c>
      <c r="F325" s="16">
        <f>B325+C325+D325+E325</f>
        <v>22536</v>
      </c>
    </row>
    <row r="326" spans="1:9" s="42" customFormat="1" x14ac:dyDescent="0.3">
      <c r="A326" s="18" t="s">
        <v>41</v>
      </c>
      <c r="B326" s="20">
        <f>SUM(B321:B325)</f>
        <v>34572</v>
      </c>
      <c r="C326" s="20">
        <f>SUM(C321:C325)</f>
        <v>43618</v>
      </c>
      <c r="D326" s="20">
        <f>SUM(D321:D325)</f>
        <v>48471</v>
      </c>
      <c r="E326" s="20">
        <f>SUM(E321:E325)</f>
        <v>52090</v>
      </c>
      <c r="F326" s="20">
        <f>SUM(F321:F325)</f>
        <v>178751</v>
      </c>
      <c r="I326" s="82"/>
    </row>
    <row r="327" spans="1:9" s="42" customFormat="1" x14ac:dyDescent="0.3">
      <c r="A327" s="69"/>
      <c r="B327" s="41"/>
      <c r="C327" s="41"/>
      <c r="D327" s="41"/>
      <c r="E327" s="41"/>
      <c r="F327" s="41"/>
    </row>
    <row r="328" spans="1:9" s="42" customFormat="1" x14ac:dyDescent="0.3">
      <c r="A328" s="12" t="s">
        <v>72</v>
      </c>
      <c r="B328" s="13" t="str">
        <f>B320</f>
        <v>Q1 FY17</v>
      </c>
      <c r="C328" s="13" t="str">
        <f>C320</f>
        <v>Q2 FY17</v>
      </c>
      <c r="D328" s="13" t="str">
        <f>D320</f>
        <v>Q3 FY17</v>
      </c>
      <c r="E328" s="13" t="str">
        <f>E320</f>
        <v>Q4 FY17</v>
      </c>
      <c r="F328" s="13" t="str">
        <f>F320</f>
        <v>YTD</v>
      </c>
    </row>
    <row r="329" spans="1:9" s="42" customFormat="1" x14ac:dyDescent="0.3">
      <c r="A329" s="15" t="s">
        <v>189</v>
      </c>
      <c r="B329" s="16">
        <v>16026</v>
      </c>
      <c r="C329" s="16">
        <v>20040</v>
      </c>
      <c r="D329" s="16">
        <v>17006</v>
      </c>
      <c r="E329" s="16">
        <v>27804</v>
      </c>
      <c r="F329" s="16">
        <f>B329+C329+D329+E329</f>
        <v>80876</v>
      </c>
    </row>
    <row r="330" spans="1:9" s="42" customFormat="1" x14ac:dyDescent="0.3">
      <c r="A330" s="15" t="s">
        <v>190</v>
      </c>
      <c r="B330" s="16">
        <v>20767</v>
      </c>
      <c r="C330" s="16">
        <v>18706</v>
      </c>
      <c r="D330" s="16">
        <v>21841</v>
      </c>
      <c r="E330" s="16">
        <v>20868</v>
      </c>
      <c r="F330" s="16">
        <f>B330+C330+D330+E330</f>
        <v>82182</v>
      </c>
    </row>
    <row r="331" spans="1:9" s="42" customFormat="1" x14ac:dyDescent="0.3">
      <c r="A331" s="15" t="s">
        <v>191</v>
      </c>
      <c r="B331" s="16">
        <v>25818</v>
      </c>
      <c r="C331" s="16">
        <v>19413</v>
      </c>
      <c r="D331" s="16">
        <v>22695</v>
      </c>
      <c r="E331" s="16">
        <v>33710</v>
      </c>
      <c r="F331" s="16">
        <f>B331+C331+D331+E331</f>
        <v>101636</v>
      </c>
    </row>
    <row r="332" spans="1:9" s="42" customFormat="1" x14ac:dyDescent="0.3">
      <c r="A332" s="15" t="s">
        <v>198</v>
      </c>
      <c r="B332" s="16">
        <v>21377</v>
      </c>
      <c r="C332" s="16">
        <v>22630</v>
      </c>
      <c r="D332" s="16">
        <v>26950</v>
      </c>
      <c r="E332" s="16">
        <v>23220</v>
      </c>
      <c r="F332" s="16">
        <f>B332+C332+D332+E332</f>
        <v>94177</v>
      </c>
    </row>
    <row r="333" spans="1:9" s="42" customFormat="1" x14ac:dyDescent="0.3">
      <c r="A333" s="15" t="s">
        <v>209</v>
      </c>
      <c r="B333" s="16">
        <v>15766</v>
      </c>
      <c r="C333" s="16">
        <v>14828</v>
      </c>
      <c r="D333" s="16">
        <v>15282</v>
      </c>
      <c r="E333" s="16">
        <v>17308</v>
      </c>
      <c r="F333" s="16">
        <f>B333+C333+D333+E333</f>
        <v>63184</v>
      </c>
    </row>
    <row r="334" spans="1:9" s="42" customFormat="1" x14ac:dyDescent="0.3">
      <c r="A334" s="18" t="s">
        <v>65</v>
      </c>
      <c r="B334" s="20">
        <f>SUM(B329:B333)</f>
        <v>99754</v>
      </c>
      <c r="C334" s="20">
        <f>SUM(C329:C333)</f>
        <v>95617</v>
      </c>
      <c r="D334" s="20">
        <f>SUM(D329:D333)</f>
        <v>103774</v>
      </c>
      <c r="E334" s="20">
        <f>SUM(E329:E333)</f>
        <v>122910</v>
      </c>
      <c r="F334" s="20">
        <f>SUM(F329:F333)</f>
        <v>422055</v>
      </c>
      <c r="I334" s="82"/>
    </row>
    <row r="335" spans="1:9" s="42" customFormat="1" x14ac:dyDescent="0.3">
      <c r="A335" s="69"/>
      <c r="B335" s="41"/>
      <c r="C335" s="41"/>
      <c r="D335" s="41"/>
      <c r="E335" s="41"/>
      <c r="F335" s="41"/>
    </row>
    <row r="336" spans="1:9" s="42" customFormat="1" x14ac:dyDescent="0.3">
      <c r="A336" s="12" t="s">
        <v>195</v>
      </c>
      <c r="B336" s="13" t="str">
        <f>B328</f>
        <v>Q1 FY17</v>
      </c>
      <c r="C336" s="13" t="str">
        <f>C328</f>
        <v>Q2 FY17</v>
      </c>
      <c r="D336" s="13" t="str">
        <f>D328</f>
        <v>Q3 FY17</v>
      </c>
      <c r="E336" s="13" t="str">
        <f>E328</f>
        <v>Q4 FY17</v>
      </c>
      <c r="F336" s="13" t="str">
        <f>F328</f>
        <v>YTD</v>
      </c>
    </row>
    <row r="337" spans="1:8" s="42" customFormat="1" x14ac:dyDescent="0.3">
      <c r="A337" s="15" t="s">
        <v>189</v>
      </c>
      <c r="B337" s="16">
        <f t="shared" ref="B337:F342" si="19">B329+B321</f>
        <v>22711</v>
      </c>
      <c r="C337" s="16">
        <f t="shared" si="19"/>
        <v>28912</v>
      </c>
      <c r="D337" s="16">
        <f>D329+D321</f>
        <v>23711</v>
      </c>
      <c r="E337" s="16">
        <f>E329+E321</f>
        <v>40008</v>
      </c>
      <c r="F337" s="16">
        <f t="shared" si="19"/>
        <v>115342</v>
      </c>
      <c r="G337" s="84"/>
      <c r="H337" s="84"/>
    </row>
    <row r="338" spans="1:8" s="42" customFormat="1" x14ac:dyDescent="0.3">
      <c r="A338" s="15" t="s">
        <v>190</v>
      </c>
      <c r="B338" s="16">
        <f t="shared" si="19"/>
        <v>29681</v>
      </c>
      <c r="C338" s="16">
        <f t="shared" si="19"/>
        <v>31084</v>
      </c>
      <c r="D338" s="16">
        <f t="shared" si="19"/>
        <v>37631</v>
      </c>
      <c r="E338" s="16">
        <f>E330+E322</f>
        <v>33587</v>
      </c>
      <c r="F338" s="16">
        <f t="shared" si="19"/>
        <v>131983</v>
      </c>
      <c r="G338" s="84"/>
      <c r="H338" s="84"/>
    </row>
    <row r="339" spans="1:8" s="42" customFormat="1" x14ac:dyDescent="0.3">
      <c r="A339" s="15" t="s">
        <v>191</v>
      </c>
      <c r="B339" s="16">
        <f t="shared" si="19"/>
        <v>35515</v>
      </c>
      <c r="C339" s="16">
        <f t="shared" si="19"/>
        <v>29218</v>
      </c>
      <c r="D339" s="16">
        <f t="shared" si="19"/>
        <v>32120</v>
      </c>
      <c r="E339" s="16">
        <f>E331+E323</f>
        <v>45748</v>
      </c>
      <c r="F339" s="16">
        <f t="shared" si="19"/>
        <v>142601</v>
      </c>
      <c r="G339" s="84"/>
      <c r="H339" s="84"/>
    </row>
    <row r="340" spans="1:8" s="42" customFormat="1" x14ac:dyDescent="0.3">
      <c r="A340" s="15" t="s">
        <v>198</v>
      </c>
      <c r="B340" s="16">
        <f t="shared" si="19"/>
        <v>26295</v>
      </c>
      <c r="C340" s="16">
        <f t="shared" si="19"/>
        <v>29490</v>
      </c>
      <c r="D340" s="16">
        <f t="shared" si="19"/>
        <v>37400</v>
      </c>
      <c r="E340" s="16">
        <f>E332+E324</f>
        <v>31975</v>
      </c>
      <c r="F340" s="16">
        <f t="shared" si="19"/>
        <v>125160</v>
      </c>
      <c r="G340" s="84"/>
      <c r="H340" s="84"/>
    </row>
    <row r="341" spans="1:8" s="42" customFormat="1" x14ac:dyDescent="0.3">
      <c r="A341" s="15" t="s">
        <v>209</v>
      </c>
      <c r="B341" s="16">
        <f t="shared" si="19"/>
        <v>20124</v>
      </c>
      <c r="C341" s="16">
        <f t="shared" si="19"/>
        <v>20531</v>
      </c>
      <c r="D341" s="16">
        <f t="shared" si="19"/>
        <v>21383</v>
      </c>
      <c r="E341" s="16">
        <f t="shared" si="19"/>
        <v>23682</v>
      </c>
      <c r="F341" s="16">
        <f t="shared" si="19"/>
        <v>85720</v>
      </c>
      <c r="G341" s="84"/>
      <c r="H341" s="84"/>
    </row>
    <row r="342" spans="1:8" s="42" customFormat="1" x14ac:dyDescent="0.3">
      <c r="A342" s="18" t="s">
        <v>196</v>
      </c>
      <c r="B342" s="83">
        <f t="shared" si="19"/>
        <v>134326</v>
      </c>
      <c r="C342" s="83">
        <f t="shared" si="19"/>
        <v>139235</v>
      </c>
      <c r="D342" s="83">
        <f t="shared" si="19"/>
        <v>152245</v>
      </c>
      <c r="E342" s="83">
        <f>E334+E326</f>
        <v>175000</v>
      </c>
      <c r="F342" s="83">
        <f t="shared" si="19"/>
        <v>600806</v>
      </c>
      <c r="G342" s="84"/>
      <c r="H342" s="84"/>
    </row>
    <row r="344" spans="1:8" s="42" customFormat="1" x14ac:dyDescent="0.3">
      <c r="A344" s="86" t="s">
        <v>199</v>
      </c>
      <c r="B344" s="39">
        <v>13558</v>
      </c>
      <c r="C344" s="39">
        <v>15043</v>
      </c>
      <c r="D344" s="39">
        <v>21335</v>
      </c>
      <c r="E344" s="39">
        <v>16124</v>
      </c>
      <c r="F344" s="39">
        <v>66060</v>
      </c>
    </row>
    <row r="345" spans="1:8" s="42" customFormat="1" x14ac:dyDescent="0.3">
      <c r="A345" s="73"/>
      <c r="B345" s="64"/>
      <c r="C345" s="64"/>
      <c r="D345" s="64"/>
      <c r="E345" s="64"/>
      <c r="F345" s="64"/>
    </row>
    <row r="346" spans="1:8" s="77" customFormat="1" ht="7.5" customHeight="1" x14ac:dyDescent="0.3">
      <c r="A346" s="88"/>
    </row>
    <row r="347" spans="1:8" x14ac:dyDescent="0.3">
      <c r="A347" s="41"/>
    </row>
    <row r="348" spans="1:8" x14ac:dyDescent="0.3">
      <c r="A348" s="11" t="s">
        <v>115</v>
      </c>
    </row>
    <row r="349" spans="1:8" x14ac:dyDescent="0.3">
      <c r="A349" s="29"/>
    </row>
    <row r="350" spans="1:8" x14ac:dyDescent="0.3">
      <c r="A350" s="12" t="s">
        <v>33</v>
      </c>
      <c r="B350" s="30" t="s">
        <v>210</v>
      </c>
      <c r="C350" s="30" t="s">
        <v>211</v>
      </c>
      <c r="D350" s="30" t="s">
        <v>212</v>
      </c>
      <c r="E350" s="30" t="s">
        <v>213</v>
      </c>
      <c r="F350" s="30" t="s">
        <v>20</v>
      </c>
    </row>
    <row r="351" spans="1:8" x14ac:dyDescent="0.3">
      <c r="A351" s="15" t="s">
        <v>189</v>
      </c>
      <c r="B351" s="16">
        <v>6640</v>
      </c>
      <c r="C351" s="16">
        <v>8075</v>
      </c>
      <c r="D351" s="16">
        <v>7722</v>
      </c>
      <c r="E351" s="16">
        <v>6824</v>
      </c>
      <c r="F351" s="16">
        <f>B351+C351+D351+E351</f>
        <v>29261</v>
      </c>
    </row>
    <row r="352" spans="1:8" x14ac:dyDescent="0.3">
      <c r="A352" s="15" t="s">
        <v>190</v>
      </c>
      <c r="B352" s="16">
        <v>4583</v>
      </c>
      <c r="C352" s="16">
        <v>2432</v>
      </c>
      <c r="D352" s="16">
        <v>4381</v>
      </c>
      <c r="E352" s="16">
        <v>7016</v>
      </c>
      <c r="F352" s="16">
        <f>B352+C352+D352+E352</f>
        <v>18412</v>
      </c>
    </row>
    <row r="353" spans="1:6" x14ac:dyDescent="0.3">
      <c r="A353" s="15" t="s">
        <v>191</v>
      </c>
      <c r="B353" s="16">
        <v>4781</v>
      </c>
      <c r="C353" s="16">
        <v>5563</v>
      </c>
      <c r="D353" s="16">
        <v>5157</v>
      </c>
      <c r="E353" s="16">
        <v>8235</v>
      </c>
      <c r="F353" s="16">
        <f>B353+C353+D353+E353</f>
        <v>23736</v>
      </c>
    </row>
    <row r="354" spans="1:6" x14ac:dyDescent="0.3">
      <c r="A354" s="15" t="s">
        <v>214</v>
      </c>
      <c r="B354" s="16">
        <v>2550</v>
      </c>
      <c r="C354" s="16">
        <v>2424</v>
      </c>
      <c r="D354" s="16">
        <v>5203</v>
      </c>
      <c r="E354" s="16">
        <v>4863</v>
      </c>
      <c r="F354" s="16">
        <f>B354+C354+D354+E354</f>
        <v>15040</v>
      </c>
    </row>
    <row r="355" spans="1:6" x14ac:dyDescent="0.3">
      <c r="A355" s="15" t="s">
        <v>209</v>
      </c>
      <c r="B355" s="16">
        <v>2648</v>
      </c>
      <c r="C355" s="16">
        <v>3193</v>
      </c>
      <c r="D355" s="16">
        <v>4561</v>
      </c>
      <c r="E355" s="16">
        <v>5255</v>
      </c>
      <c r="F355" s="16">
        <f>B355+C355+D355+E355</f>
        <v>15657</v>
      </c>
    </row>
    <row r="356" spans="1:6" x14ac:dyDescent="0.3">
      <c r="A356" s="18" t="s">
        <v>41</v>
      </c>
      <c r="B356" s="20">
        <f>SUM(B351:B355)</f>
        <v>21202</v>
      </c>
      <c r="C356" s="20">
        <f>SUM(C351:C355)</f>
        <v>21687</v>
      </c>
      <c r="D356" s="20">
        <f>SUM(D351:D355)</f>
        <v>27024</v>
      </c>
      <c r="E356" s="20">
        <f>SUM(E351:E355)</f>
        <v>32193</v>
      </c>
      <c r="F356" s="20">
        <f>SUM(F351:F355)</f>
        <v>102106</v>
      </c>
    </row>
    <row r="358" spans="1:6" x14ac:dyDescent="0.3">
      <c r="A358" s="12" t="s">
        <v>72</v>
      </c>
      <c r="B358" s="13" t="str">
        <f>B350</f>
        <v>Q1 FY16</v>
      </c>
      <c r="C358" s="13" t="str">
        <f>C350</f>
        <v>Q2 FY16</v>
      </c>
      <c r="D358" s="13" t="str">
        <f>D350</f>
        <v>Q3 FY16</v>
      </c>
      <c r="E358" s="13" t="str">
        <f>E350</f>
        <v>Q4 FY16</v>
      </c>
      <c r="F358" s="13" t="str">
        <f>F350</f>
        <v>YTD</v>
      </c>
    </row>
    <row r="359" spans="1:6" x14ac:dyDescent="0.3">
      <c r="A359" s="15" t="s">
        <v>189</v>
      </c>
      <c r="B359" s="16">
        <v>14540</v>
      </c>
      <c r="C359" s="16">
        <v>19419</v>
      </c>
      <c r="D359" s="16">
        <v>18287</v>
      </c>
      <c r="E359" s="16">
        <v>29614</v>
      </c>
      <c r="F359" s="16">
        <f>B359+C359+D359+E359</f>
        <v>81860</v>
      </c>
    </row>
    <row r="360" spans="1:6" x14ac:dyDescent="0.3">
      <c r="A360" s="15" t="s">
        <v>190</v>
      </c>
      <c r="B360" s="16">
        <v>17521</v>
      </c>
      <c r="C360" s="16">
        <v>22987</v>
      </c>
      <c r="D360" s="16">
        <v>26091</v>
      </c>
      <c r="E360" s="16">
        <v>23845</v>
      </c>
      <c r="F360" s="16">
        <f>B360+C360+D360+E360</f>
        <v>90444</v>
      </c>
    </row>
    <row r="361" spans="1:6" x14ac:dyDescent="0.3">
      <c r="A361" s="15" t="s">
        <v>191</v>
      </c>
      <c r="B361" s="16">
        <v>27341</v>
      </c>
      <c r="C361" s="16">
        <v>14454</v>
      </c>
      <c r="D361" s="16">
        <v>32004</v>
      </c>
      <c r="E361" s="16">
        <v>32706</v>
      </c>
      <c r="F361" s="16">
        <f>B361+C361+D361+E361</f>
        <v>106505</v>
      </c>
    </row>
    <row r="362" spans="1:6" x14ac:dyDescent="0.3">
      <c r="A362" s="15" t="s">
        <v>215</v>
      </c>
      <c r="B362" s="16">
        <v>16840</v>
      </c>
      <c r="C362" s="16">
        <v>17442</v>
      </c>
      <c r="D362" s="16">
        <v>22891</v>
      </c>
      <c r="E362" s="16">
        <v>24345</v>
      </c>
      <c r="F362" s="16">
        <f>B362+C362+D362+E362</f>
        <v>81518</v>
      </c>
    </row>
    <row r="363" spans="1:6" x14ac:dyDescent="0.3">
      <c r="A363" s="15" t="s">
        <v>209</v>
      </c>
      <c r="B363" s="16">
        <v>17008</v>
      </c>
      <c r="C363" s="16">
        <v>20756</v>
      </c>
      <c r="D363" s="16">
        <v>24164</v>
      </c>
      <c r="E363" s="16">
        <v>19724</v>
      </c>
      <c r="F363" s="16">
        <f>B363+C363+D363+E363</f>
        <v>81652</v>
      </c>
    </row>
    <row r="364" spans="1:6" x14ac:dyDescent="0.3">
      <c r="A364" s="18" t="s">
        <v>65</v>
      </c>
      <c r="B364" s="20">
        <f>SUM(B359:B363)</f>
        <v>93250</v>
      </c>
      <c r="C364" s="20">
        <f>SUM(C359:C363)</f>
        <v>95058</v>
      </c>
      <c r="D364" s="20">
        <f>SUM(D359:D363)</f>
        <v>123437</v>
      </c>
      <c r="E364" s="20">
        <f>SUM(E359:E363)</f>
        <v>130234</v>
      </c>
      <c r="F364" s="20">
        <f>SUM(F359:F363)</f>
        <v>441979</v>
      </c>
    </row>
    <row r="366" spans="1:6" x14ac:dyDescent="0.3">
      <c r="A366" s="12" t="s">
        <v>195</v>
      </c>
      <c r="B366" s="13" t="str">
        <f>B358</f>
        <v>Q1 FY16</v>
      </c>
      <c r="C366" s="13" t="str">
        <f>C358</f>
        <v>Q2 FY16</v>
      </c>
      <c r="D366" s="13" t="str">
        <f>D358</f>
        <v>Q3 FY16</v>
      </c>
      <c r="E366" s="13" t="str">
        <f>E358</f>
        <v>Q4 FY16</v>
      </c>
      <c r="F366" s="13" t="str">
        <f>F358</f>
        <v>YTD</v>
      </c>
    </row>
    <row r="367" spans="1:6" x14ac:dyDescent="0.3">
      <c r="A367" s="15" t="s">
        <v>189</v>
      </c>
      <c r="B367" s="16">
        <f t="shared" ref="B367:F372" si="20">B359+B351</f>
        <v>21180</v>
      </c>
      <c r="C367" s="16">
        <f t="shared" si="20"/>
        <v>27494</v>
      </c>
      <c r="D367" s="16">
        <f t="shared" si="20"/>
        <v>26009</v>
      </c>
      <c r="E367" s="16">
        <f t="shared" si="20"/>
        <v>36438</v>
      </c>
      <c r="F367" s="16">
        <f t="shared" si="20"/>
        <v>111121</v>
      </c>
    </row>
    <row r="368" spans="1:6" x14ac:dyDescent="0.3">
      <c r="A368" s="15" t="s">
        <v>190</v>
      </c>
      <c r="B368" s="16">
        <f t="shared" si="20"/>
        <v>22104</v>
      </c>
      <c r="C368" s="16">
        <f t="shared" si="20"/>
        <v>25419</v>
      </c>
      <c r="D368" s="16">
        <f t="shared" si="20"/>
        <v>30472</v>
      </c>
      <c r="E368" s="16">
        <f t="shared" si="20"/>
        <v>30861</v>
      </c>
      <c r="F368" s="16">
        <f t="shared" si="20"/>
        <v>108856</v>
      </c>
    </row>
    <row r="369" spans="1:16" x14ac:dyDescent="0.3">
      <c r="A369" s="15" t="s">
        <v>191</v>
      </c>
      <c r="B369" s="16">
        <f t="shared" si="20"/>
        <v>32122</v>
      </c>
      <c r="C369" s="16">
        <f t="shared" si="20"/>
        <v>20017</v>
      </c>
      <c r="D369" s="16">
        <f t="shared" si="20"/>
        <v>37161</v>
      </c>
      <c r="E369" s="16">
        <f t="shared" si="20"/>
        <v>40941</v>
      </c>
      <c r="F369" s="16">
        <f t="shared" si="20"/>
        <v>130241</v>
      </c>
    </row>
    <row r="370" spans="1:16" x14ac:dyDescent="0.3">
      <c r="A370" s="15" t="s">
        <v>215</v>
      </c>
      <c r="B370" s="16">
        <f t="shared" si="20"/>
        <v>19390</v>
      </c>
      <c r="C370" s="16">
        <f t="shared" si="20"/>
        <v>19866</v>
      </c>
      <c r="D370" s="16">
        <f t="shared" si="20"/>
        <v>28094</v>
      </c>
      <c r="E370" s="16">
        <f t="shared" si="20"/>
        <v>29208</v>
      </c>
      <c r="F370" s="16">
        <f t="shared" si="20"/>
        <v>96558</v>
      </c>
    </row>
    <row r="371" spans="1:16" x14ac:dyDescent="0.3">
      <c r="A371" s="15" t="s">
        <v>209</v>
      </c>
      <c r="B371" s="16">
        <f t="shared" si="20"/>
        <v>19656</v>
      </c>
      <c r="C371" s="16">
        <f t="shared" si="20"/>
        <v>23949</v>
      </c>
      <c r="D371" s="16">
        <f t="shared" si="20"/>
        <v>28725</v>
      </c>
      <c r="E371" s="16">
        <f t="shared" si="20"/>
        <v>24979</v>
      </c>
      <c r="F371" s="16">
        <f t="shared" si="20"/>
        <v>97309</v>
      </c>
    </row>
    <row r="372" spans="1:16" x14ac:dyDescent="0.3">
      <c r="A372" s="18" t="s">
        <v>196</v>
      </c>
      <c r="B372" s="83">
        <f t="shared" si="20"/>
        <v>114452</v>
      </c>
      <c r="C372" s="83">
        <f t="shared" si="20"/>
        <v>116745</v>
      </c>
      <c r="D372" s="83">
        <f t="shared" si="20"/>
        <v>150461</v>
      </c>
      <c r="E372" s="83">
        <f t="shared" si="20"/>
        <v>162427</v>
      </c>
      <c r="F372" s="83">
        <f t="shared" si="20"/>
        <v>544085</v>
      </c>
    </row>
    <row r="373" spans="1:16" x14ac:dyDescent="0.3">
      <c r="A373" s="73"/>
      <c r="B373" s="64"/>
      <c r="C373" s="64"/>
      <c r="D373" s="64"/>
      <c r="E373" s="64"/>
      <c r="F373" s="64"/>
      <c r="H373" s="72"/>
    </row>
    <row r="374" spans="1:16" x14ac:dyDescent="0.3">
      <c r="A374" s="86" t="s">
        <v>199</v>
      </c>
      <c r="B374" s="43">
        <v>3804</v>
      </c>
      <c r="C374" s="43">
        <v>5585</v>
      </c>
      <c r="D374" s="43">
        <v>12830</v>
      </c>
      <c r="E374" s="43">
        <v>12532</v>
      </c>
      <c r="F374" s="43">
        <f>SUM(B374:E374)</f>
        <v>34751</v>
      </c>
    </row>
    <row r="375" spans="1:16" x14ac:dyDescent="0.3">
      <c r="A375" s="89"/>
      <c r="G375" s="90"/>
    </row>
    <row r="376" spans="1:16" s="92" customFormat="1" ht="5.25" customHeight="1" x14ac:dyDescent="0.3">
      <c r="A376" s="88"/>
      <c r="B376" s="88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</row>
    <row r="377" spans="1:16" x14ac:dyDescent="0.3">
      <c r="A377" s="41"/>
    </row>
    <row r="378" spans="1:16" x14ac:dyDescent="0.3">
      <c r="A378" s="41"/>
    </row>
    <row r="379" spans="1:16" x14ac:dyDescent="0.3">
      <c r="A379" s="11" t="s">
        <v>120</v>
      </c>
    </row>
    <row r="380" spans="1:16" x14ac:dyDescent="0.3">
      <c r="A380" s="29"/>
    </row>
    <row r="381" spans="1:16" x14ac:dyDescent="0.3">
      <c r="A381" s="12" t="s">
        <v>33</v>
      </c>
      <c r="B381" s="30" t="s">
        <v>121</v>
      </c>
      <c r="C381" s="30" t="s">
        <v>122</v>
      </c>
      <c r="D381" s="30" t="s">
        <v>123</v>
      </c>
      <c r="E381" s="30" t="s">
        <v>124</v>
      </c>
      <c r="F381" s="30" t="s">
        <v>20</v>
      </c>
    </row>
    <row r="382" spans="1:16" x14ac:dyDescent="0.3">
      <c r="A382" s="15" t="s">
        <v>189</v>
      </c>
      <c r="B382" s="16">
        <v>4141</v>
      </c>
      <c r="C382" s="16">
        <v>4372</v>
      </c>
      <c r="D382" s="16">
        <v>3613</v>
      </c>
      <c r="E382" s="16">
        <v>5835</v>
      </c>
      <c r="F382" s="16">
        <f t="shared" ref="F382:F387" si="21">B382+C382+D382+E382</f>
        <v>17961</v>
      </c>
    </row>
    <row r="383" spans="1:16" x14ac:dyDescent="0.3">
      <c r="A383" s="15" t="s">
        <v>190</v>
      </c>
      <c r="B383" s="16">
        <v>3425</v>
      </c>
      <c r="C383" s="16">
        <v>2746</v>
      </c>
      <c r="D383" s="16">
        <v>4919</v>
      </c>
      <c r="E383" s="16">
        <v>4442</v>
      </c>
      <c r="F383" s="16">
        <f t="shared" si="21"/>
        <v>15532</v>
      </c>
    </row>
    <row r="384" spans="1:16" x14ac:dyDescent="0.3">
      <c r="A384" s="15" t="s">
        <v>191</v>
      </c>
      <c r="B384" s="16">
        <v>2329</v>
      </c>
      <c r="C384" s="16">
        <v>2172</v>
      </c>
      <c r="D384" s="16">
        <v>2602</v>
      </c>
      <c r="E384" s="16">
        <v>2988</v>
      </c>
      <c r="F384" s="16">
        <f t="shared" si="21"/>
        <v>10091</v>
      </c>
    </row>
    <row r="385" spans="1:6" x14ac:dyDescent="0.3">
      <c r="A385" s="15" t="s">
        <v>214</v>
      </c>
      <c r="B385" s="16">
        <v>6789</v>
      </c>
      <c r="C385" s="16">
        <v>5510</v>
      </c>
      <c r="D385" s="16">
        <v>4978</v>
      </c>
      <c r="E385" s="16">
        <v>3861</v>
      </c>
      <c r="F385" s="16">
        <f t="shared" si="21"/>
        <v>21138</v>
      </c>
    </row>
    <row r="386" spans="1:6" x14ac:dyDescent="0.3">
      <c r="A386" s="15" t="s">
        <v>216</v>
      </c>
      <c r="B386" s="16">
        <v>1143</v>
      </c>
      <c r="C386" s="16">
        <v>1202</v>
      </c>
      <c r="D386" s="16">
        <v>1156</v>
      </c>
      <c r="E386" s="16">
        <v>1557</v>
      </c>
      <c r="F386" s="16">
        <f t="shared" si="21"/>
        <v>5058</v>
      </c>
    </row>
    <row r="387" spans="1:6" x14ac:dyDescent="0.3">
      <c r="A387" s="15" t="s">
        <v>209</v>
      </c>
      <c r="B387" s="16">
        <v>1757</v>
      </c>
      <c r="C387" s="16">
        <v>1779</v>
      </c>
      <c r="D387" s="16">
        <v>1785</v>
      </c>
      <c r="E387" s="16">
        <v>1395</v>
      </c>
      <c r="F387" s="16">
        <f t="shared" si="21"/>
        <v>6716</v>
      </c>
    </row>
    <row r="388" spans="1:6" x14ac:dyDescent="0.3">
      <c r="A388" s="18" t="s">
        <v>41</v>
      </c>
      <c r="B388" s="20">
        <f>SUM(B382:B387)</f>
        <v>19584</v>
      </c>
      <c r="C388" s="20">
        <f>SUM(C382:C387)</f>
        <v>17781</v>
      </c>
      <c r="D388" s="20">
        <f>SUM(D382:D387)</f>
        <v>19053</v>
      </c>
      <c r="E388" s="20">
        <f>SUM(E382:E387)</f>
        <v>20078</v>
      </c>
      <c r="F388" s="20">
        <f>SUM(F382:F387)</f>
        <v>76496</v>
      </c>
    </row>
    <row r="390" spans="1:6" x14ac:dyDescent="0.3">
      <c r="A390" s="12" t="s">
        <v>72</v>
      </c>
      <c r="B390" s="13" t="str">
        <f>B381</f>
        <v>Q1 FY15</v>
      </c>
      <c r="C390" s="13" t="str">
        <f>C381</f>
        <v>Q2 FY15</v>
      </c>
      <c r="D390" s="13" t="str">
        <f>D381</f>
        <v>Q3 FY15</v>
      </c>
      <c r="E390" s="13" t="str">
        <f>E381</f>
        <v>Q4 FY15</v>
      </c>
      <c r="F390" s="13" t="str">
        <f>F381</f>
        <v>YTD</v>
      </c>
    </row>
    <row r="391" spans="1:6" x14ac:dyDescent="0.3">
      <c r="A391" s="15" t="s">
        <v>189</v>
      </c>
      <c r="B391" s="16">
        <v>14204</v>
      </c>
      <c r="C391" s="16">
        <v>16810</v>
      </c>
      <c r="D391" s="16">
        <v>13895</v>
      </c>
      <c r="E391" s="16">
        <v>25182</v>
      </c>
      <c r="F391" s="16">
        <f t="shared" ref="F391:F396" si="22">B391+C391+D391+E391</f>
        <v>70091</v>
      </c>
    </row>
    <row r="392" spans="1:6" x14ac:dyDescent="0.3">
      <c r="A392" s="15" t="s">
        <v>190</v>
      </c>
      <c r="B392" s="16">
        <v>14657</v>
      </c>
      <c r="C392" s="16">
        <v>12652</v>
      </c>
      <c r="D392" s="16">
        <v>16102</v>
      </c>
      <c r="E392" s="16">
        <v>20101</v>
      </c>
      <c r="F392" s="16">
        <f t="shared" si="22"/>
        <v>63512</v>
      </c>
    </row>
    <row r="393" spans="1:6" x14ac:dyDescent="0.3">
      <c r="A393" s="15" t="s">
        <v>191</v>
      </c>
      <c r="B393" s="16">
        <v>18558</v>
      </c>
      <c r="C393" s="16">
        <v>14504</v>
      </c>
      <c r="D393" s="16">
        <v>22705</v>
      </c>
      <c r="E393" s="16">
        <v>23864</v>
      </c>
      <c r="F393" s="16">
        <f t="shared" si="22"/>
        <v>79631</v>
      </c>
    </row>
    <row r="394" spans="1:6" x14ac:dyDescent="0.3">
      <c r="A394" s="15" t="s">
        <v>215</v>
      </c>
      <c r="B394" s="16">
        <v>27223</v>
      </c>
      <c r="C394" s="16">
        <v>22537</v>
      </c>
      <c r="D394" s="16">
        <v>29103</v>
      </c>
      <c r="E394" s="16">
        <v>15265</v>
      </c>
      <c r="F394" s="16">
        <f t="shared" si="22"/>
        <v>94128</v>
      </c>
    </row>
    <row r="395" spans="1:6" x14ac:dyDescent="0.3">
      <c r="A395" s="15" t="s">
        <v>216</v>
      </c>
      <c r="B395" s="16">
        <v>5724</v>
      </c>
      <c r="C395" s="16">
        <v>5172</v>
      </c>
      <c r="D395" s="16">
        <v>5165</v>
      </c>
      <c r="E395" s="16">
        <v>5951</v>
      </c>
      <c r="F395" s="16">
        <f t="shared" si="22"/>
        <v>22012</v>
      </c>
    </row>
    <row r="396" spans="1:6" x14ac:dyDescent="0.3">
      <c r="A396" s="15" t="s">
        <v>209</v>
      </c>
      <c r="B396" s="16">
        <v>15206</v>
      </c>
      <c r="C396" s="16">
        <v>14519</v>
      </c>
      <c r="D396" s="16">
        <v>16164</v>
      </c>
      <c r="E396" s="16">
        <v>14720</v>
      </c>
      <c r="F396" s="16">
        <f t="shared" si="22"/>
        <v>60609</v>
      </c>
    </row>
    <row r="397" spans="1:6" x14ac:dyDescent="0.3">
      <c r="A397" s="18" t="s">
        <v>65</v>
      </c>
      <c r="B397" s="20">
        <f>SUM(B391:B396)</f>
        <v>95572</v>
      </c>
      <c r="C397" s="20">
        <f>SUM(C391:C396)</f>
        <v>86194</v>
      </c>
      <c r="D397" s="20">
        <f>SUM(D391:D396)</f>
        <v>103134</v>
      </c>
      <c r="E397" s="20">
        <f>SUM(E391:E396)</f>
        <v>105083</v>
      </c>
      <c r="F397" s="20">
        <f>SUM(F391:F396)</f>
        <v>389983</v>
      </c>
    </row>
    <row r="399" spans="1:6" x14ac:dyDescent="0.3">
      <c r="A399" s="12" t="s">
        <v>195</v>
      </c>
      <c r="B399" s="13" t="str">
        <f>B390</f>
        <v>Q1 FY15</v>
      </c>
      <c r="C399" s="13" t="str">
        <f>C390</f>
        <v>Q2 FY15</v>
      </c>
      <c r="D399" s="13" t="str">
        <f>D390</f>
        <v>Q3 FY15</v>
      </c>
      <c r="E399" s="13" t="str">
        <f>E390</f>
        <v>Q4 FY15</v>
      </c>
      <c r="F399" s="13" t="str">
        <f>F390</f>
        <v>YTD</v>
      </c>
    </row>
    <row r="400" spans="1:6" x14ac:dyDescent="0.3">
      <c r="A400" s="15" t="s">
        <v>189</v>
      </c>
      <c r="B400" s="16">
        <f t="shared" ref="B400:F406" si="23">B391+B382</f>
        <v>18345</v>
      </c>
      <c r="C400" s="16">
        <f t="shared" si="23"/>
        <v>21182</v>
      </c>
      <c r="D400" s="16">
        <f t="shared" si="23"/>
        <v>17508</v>
      </c>
      <c r="E400" s="16">
        <f t="shared" si="23"/>
        <v>31017</v>
      </c>
      <c r="F400" s="16">
        <f t="shared" si="23"/>
        <v>88052</v>
      </c>
    </row>
    <row r="401" spans="1:16" x14ac:dyDescent="0.3">
      <c r="A401" s="15" t="s">
        <v>190</v>
      </c>
      <c r="B401" s="16">
        <f t="shared" si="23"/>
        <v>18082</v>
      </c>
      <c r="C401" s="16">
        <f t="shared" si="23"/>
        <v>15398</v>
      </c>
      <c r="D401" s="16">
        <f t="shared" si="23"/>
        <v>21021</v>
      </c>
      <c r="E401" s="16">
        <f t="shared" si="23"/>
        <v>24543</v>
      </c>
      <c r="F401" s="16">
        <f t="shared" si="23"/>
        <v>79044</v>
      </c>
    </row>
    <row r="402" spans="1:16" x14ac:dyDescent="0.3">
      <c r="A402" s="15" t="s">
        <v>191</v>
      </c>
      <c r="B402" s="16">
        <f t="shared" si="23"/>
        <v>20887</v>
      </c>
      <c r="C402" s="16">
        <f t="shared" si="23"/>
        <v>16676</v>
      </c>
      <c r="D402" s="16">
        <f t="shared" si="23"/>
        <v>25307</v>
      </c>
      <c r="E402" s="16">
        <f t="shared" si="23"/>
        <v>26852</v>
      </c>
      <c r="F402" s="16">
        <f t="shared" si="23"/>
        <v>89722</v>
      </c>
    </row>
    <row r="403" spans="1:16" x14ac:dyDescent="0.3">
      <c r="A403" s="15" t="s">
        <v>215</v>
      </c>
      <c r="B403" s="16">
        <f t="shared" si="23"/>
        <v>34012</v>
      </c>
      <c r="C403" s="16">
        <f t="shared" si="23"/>
        <v>28047</v>
      </c>
      <c r="D403" s="16">
        <f t="shared" si="23"/>
        <v>34081</v>
      </c>
      <c r="E403" s="16">
        <f t="shared" si="23"/>
        <v>19126</v>
      </c>
      <c r="F403" s="16">
        <f t="shared" si="23"/>
        <v>115266</v>
      </c>
    </row>
    <row r="404" spans="1:16" x14ac:dyDescent="0.3">
      <c r="A404" s="15" t="s">
        <v>216</v>
      </c>
      <c r="B404" s="16">
        <f t="shared" si="23"/>
        <v>6867</v>
      </c>
      <c r="C404" s="16">
        <f t="shared" si="23"/>
        <v>6374</v>
      </c>
      <c r="D404" s="16">
        <f t="shared" si="23"/>
        <v>6321</v>
      </c>
      <c r="E404" s="16">
        <f t="shared" si="23"/>
        <v>7508</v>
      </c>
      <c r="F404" s="16">
        <f t="shared" si="23"/>
        <v>27070</v>
      </c>
    </row>
    <row r="405" spans="1:16" x14ac:dyDescent="0.3">
      <c r="A405" s="15" t="s">
        <v>209</v>
      </c>
      <c r="B405" s="16">
        <f t="shared" si="23"/>
        <v>16963</v>
      </c>
      <c r="C405" s="16">
        <f t="shared" si="23"/>
        <v>16298</v>
      </c>
      <c r="D405" s="16">
        <f t="shared" si="23"/>
        <v>17949</v>
      </c>
      <c r="E405" s="16">
        <f t="shared" si="23"/>
        <v>16115</v>
      </c>
      <c r="F405" s="16">
        <f t="shared" si="23"/>
        <v>67325</v>
      </c>
    </row>
    <row r="406" spans="1:16" x14ac:dyDescent="0.3">
      <c r="A406" s="18" t="s">
        <v>196</v>
      </c>
      <c r="B406" s="83">
        <f t="shared" si="23"/>
        <v>115156</v>
      </c>
      <c r="C406" s="83">
        <f t="shared" si="23"/>
        <v>103975</v>
      </c>
      <c r="D406" s="83">
        <f t="shared" si="23"/>
        <v>122187</v>
      </c>
      <c r="E406" s="83">
        <f t="shared" si="23"/>
        <v>125161</v>
      </c>
      <c r="F406" s="83">
        <f t="shared" si="23"/>
        <v>466479</v>
      </c>
    </row>
    <row r="407" spans="1:16" x14ac:dyDescent="0.3">
      <c r="A407" s="73"/>
      <c r="B407" s="64"/>
      <c r="C407" s="64"/>
      <c r="D407" s="64"/>
      <c r="E407" s="64"/>
      <c r="F407" s="64"/>
    </row>
    <row r="408" spans="1:16" x14ac:dyDescent="0.3">
      <c r="A408" s="86" t="s">
        <v>199</v>
      </c>
      <c r="B408" s="93">
        <v>0</v>
      </c>
      <c r="C408" s="93">
        <v>0</v>
      </c>
      <c r="D408" s="93">
        <v>0</v>
      </c>
      <c r="E408" s="43">
        <v>4044</v>
      </c>
      <c r="F408" s="43">
        <f>SUM(B408:E408)</f>
        <v>4044</v>
      </c>
    </row>
    <row r="409" spans="1:16" x14ac:dyDescent="0.3">
      <c r="A409" s="89"/>
    </row>
    <row r="410" spans="1:16" s="92" customFormat="1" ht="5.25" customHeight="1" x14ac:dyDescent="0.3">
      <c r="A410" s="88"/>
      <c r="B410" s="88"/>
      <c r="C410" s="91"/>
      <c r="D410" s="91"/>
      <c r="E410" s="91"/>
      <c r="F410" s="91"/>
      <c r="H410" s="91"/>
      <c r="I410" s="91"/>
      <c r="J410" s="91"/>
      <c r="K410" s="91"/>
      <c r="L410" s="91"/>
      <c r="M410" s="91"/>
      <c r="N410" s="91"/>
      <c r="O410" s="91"/>
      <c r="P410" s="91"/>
    </row>
    <row r="412" spans="1:16" x14ac:dyDescent="0.3">
      <c r="A412" s="9" t="s">
        <v>188</v>
      </c>
    </row>
    <row r="413" spans="1:16" x14ac:dyDescent="0.3">
      <c r="A413" s="41"/>
    </row>
    <row r="414" spans="1:16" x14ac:dyDescent="0.3">
      <c r="A414" s="11" t="s">
        <v>125</v>
      </c>
    </row>
    <row r="415" spans="1:16" x14ac:dyDescent="0.3">
      <c r="A415" s="29"/>
    </row>
    <row r="416" spans="1:16" x14ac:dyDescent="0.3">
      <c r="A416" s="12" t="s">
        <v>33</v>
      </c>
      <c r="B416" s="30" t="s">
        <v>126</v>
      </c>
      <c r="C416" s="30" t="s">
        <v>127</v>
      </c>
      <c r="D416" s="30" t="s">
        <v>128</v>
      </c>
      <c r="E416" s="13" t="s">
        <v>129</v>
      </c>
      <c r="F416" s="13" t="s">
        <v>130</v>
      </c>
    </row>
    <row r="417" spans="1:6" x14ac:dyDescent="0.3">
      <c r="A417" s="15" t="s">
        <v>189</v>
      </c>
      <c r="B417" s="16">
        <v>4107</v>
      </c>
      <c r="C417" s="16">
        <v>4629</v>
      </c>
      <c r="D417" s="16">
        <v>3165</v>
      </c>
      <c r="E417" s="16">
        <v>5218</v>
      </c>
      <c r="F417" s="51">
        <f t="shared" ref="F417:F422" si="24">SUM(B417:E417)</f>
        <v>17119</v>
      </c>
    </row>
    <row r="418" spans="1:6" x14ac:dyDescent="0.3">
      <c r="A418" s="15" t="s">
        <v>190</v>
      </c>
      <c r="B418" s="16">
        <v>4749</v>
      </c>
      <c r="C418" s="16">
        <v>3918</v>
      </c>
      <c r="D418" s="16">
        <v>5096</v>
      </c>
      <c r="E418" s="16">
        <v>4488</v>
      </c>
      <c r="F418" s="51">
        <f t="shared" si="24"/>
        <v>18251</v>
      </c>
    </row>
    <row r="419" spans="1:6" x14ac:dyDescent="0.3">
      <c r="A419" s="15" t="s">
        <v>191</v>
      </c>
      <c r="B419" s="16">
        <v>2876</v>
      </c>
      <c r="C419" s="16">
        <v>2414</v>
      </c>
      <c r="D419" s="16">
        <v>2529</v>
      </c>
      <c r="E419" s="16">
        <v>3212</v>
      </c>
      <c r="F419" s="51">
        <f t="shared" si="24"/>
        <v>11031</v>
      </c>
    </row>
    <row r="420" spans="1:6" x14ac:dyDescent="0.3">
      <c r="A420" s="15" t="s">
        <v>214</v>
      </c>
      <c r="B420" s="16">
        <v>3800</v>
      </c>
      <c r="C420" s="16">
        <v>4688</v>
      </c>
      <c r="D420" s="16">
        <v>5983</v>
      </c>
      <c r="E420" s="16">
        <v>4925</v>
      </c>
      <c r="F420" s="51">
        <f t="shared" si="24"/>
        <v>19396</v>
      </c>
    </row>
    <row r="421" spans="1:6" x14ac:dyDescent="0.3">
      <c r="A421" s="15" t="s">
        <v>216</v>
      </c>
      <c r="B421" s="16">
        <v>1105</v>
      </c>
      <c r="C421" s="16">
        <v>1219</v>
      </c>
      <c r="D421" s="16">
        <v>1368</v>
      </c>
      <c r="E421" s="16">
        <v>1452</v>
      </c>
      <c r="F421" s="51">
        <f t="shared" si="24"/>
        <v>5144</v>
      </c>
    </row>
    <row r="422" spans="1:6" x14ac:dyDescent="0.3">
      <c r="A422" s="15" t="s">
        <v>209</v>
      </c>
      <c r="B422" s="16">
        <v>1940</v>
      </c>
      <c r="C422" s="16">
        <v>1966</v>
      </c>
      <c r="D422" s="16">
        <v>2231</v>
      </c>
      <c r="E422" s="16">
        <v>2229</v>
      </c>
      <c r="F422" s="51">
        <f t="shared" si="24"/>
        <v>8366</v>
      </c>
    </row>
    <row r="423" spans="1:6" x14ac:dyDescent="0.3">
      <c r="A423" s="18" t="s">
        <v>41</v>
      </c>
      <c r="B423" s="20">
        <f>SUM(B417:B422)</f>
        <v>18577</v>
      </c>
      <c r="C423" s="20">
        <f>SUM(C417:C422)</f>
        <v>18834</v>
      </c>
      <c r="D423" s="20">
        <f>SUM(D417:D422)</f>
        <v>20372</v>
      </c>
      <c r="E423" s="20">
        <f>SUM(E417:E422)</f>
        <v>21524</v>
      </c>
      <c r="F423" s="20">
        <f>SUM(F417:F422)</f>
        <v>79307</v>
      </c>
    </row>
    <row r="425" spans="1:6" x14ac:dyDescent="0.3">
      <c r="A425" s="12" t="s">
        <v>72</v>
      </c>
      <c r="B425" s="13" t="str">
        <f>B416</f>
        <v>Q1 FY14</v>
      </c>
      <c r="C425" s="13" t="str">
        <f>C416</f>
        <v>Q2 FY14</v>
      </c>
      <c r="D425" s="13" t="str">
        <f>D416</f>
        <v>Q3 FY14</v>
      </c>
      <c r="E425" s="13" t="str">
        <f>E416</f>
        <v>Q4 FY14</v>
      </c>
      <c r="F425" s="13" t="str">
        <f>F416</f>
        <v>FY 14</v>
      </c>
    </row>
    <row r="426" spans="1:6" x14ac:dyDescent="0.3">
      <c r="A426" s="15" t="s">
        <v>189</v>
      </c>
      <c r="B426" s="16">
        <v>12153</v>
      </c>
      <c r="C426" s="16">
        <v>13940</v>
      </c>
      <c r="D426" s="16">
        <v>12970</v>
      </c>
      <c r="E426" s="16">
        <v>19674</v>
      </c>
      <c r="F426" s="51">
        <f t="shared" ref="F426:F431" si="25">SUM(B426:E426)</f>
        <v>58737</v>
      </c>
    </row>
    <row r="427" spans="1:6" x14ac:dyDescent="0.3">
      <c r="A427" s="15" t="s">
        <v>190</v>
      </c>
      <c r="B427" s="16">
        <v>9932</v>
      </c>
      <c r="C427" s="16">
        <v>12357</v>
      </c>
      <c r="D427" s="16">
        <v>17106</v>
      </c>
      <c r="E427" s="16">
        <v>13739</v>
      </c>
      <c r="F427" s="51">
        <f t="shared" si="25"/>
        <v>53134</v>
      </c>
    </row>
    <row r="428" spans="1:6" x14ac:dyDescent="0.3">
      <c r="A428" s="15" t="s">
        <v>191</v>
      </c>
      <c r="B428" s="16">
        <v>15104</v>
      </c>
      <c r="C428" s="16">
        <v>15109</v>
      </c>
      <c r="D428" s="16">
        <v>20417</v>
      </c>
      <c r="E428" s="16">
        <v>21050</v>
      </c>
      <c r="F428" s="51">
        <f t="shared" si="25"/>
        <v>71680</v>
      </c>
    </row>
    <row r="429" spans="1:6" x14ac:dyDescent="0.3">
      <c r="A429" s="15" t="s">
        <v>214</v>
      </c>
      <c r="B429" s="16">
        <v>15430</v>
      </c>
      <c r="C429" s="16">
        <v>21850</v>
      </c>
      <c r="D429" s="16">
        <v>22925</v>
      </c>
      <c r="E429" s="16">
        <v>24309</v>
      </c>
      <c r="F429" s="51">
        <f t="shared" si="25"/>
        <v>84514</v>
      </c>
    </row>
    <row r="430" spans="1:6" x14ac:dyDescent="0.3">
      <c r="A430" s="15" t="s">
        <v>216</v>
      </c>
      <c r="B430" s="16">
        <v>4784</v>
      </c>
      <c r="C430" s="16">
        <v>3668</v>
      </c>
      <c r="D430" s="16">
        <v>4305</v>
      </c>
      <c r="E430" s="16">
        <v>4792</v>
      </c>
      <c r="F430" s="51">
        <f t="shared" si="25"/>
        <v>17549</v>
      </c>
    </row>
    <row r="431" spans="1:6" x14ac:dyDescent="0.3">
      <c r="A431" s="15" t="s">
        <v>209</v>
      </c>
      <c r="B431" s="16">
        <v>14640</v>
      </c>
      <c r="C431" s="16">
        <v>16173</v>
      </c>
      <c r="D431" s="16">
        <v>18262</v>
      </c>
      <c r="E431" s="16">
        <v>15865</v>
      </c>
      <c r="F431" s="51">
        <f t="shared" si="25"/>
        <v>64940</v>
      </c>
    </row>
    <row r="432" spans="1:6" x14ac:dyDescent="0.3">
      <c r="A432" s="18" t="s">
        <v>65</v>
      </c>
      <c r="B432" s="20">
        <f>SUM(B426:B431)</f>
        <v>72043</v>
      </c>
      <c r="C432" s="20">
        <f>SUM(C426:C431)</f>
        <v>83097</v>
      </c>
      <c r="D432" s="20">
        <f>SUM(D426:D431)</f>
        <v>95985</v>
      </c>
      <c r="E432" s="20">
        <f>SUM(E426:E431)</f>
        <v>99429</v>
      </c>
      <c r="F432" s="20">
        <f>SUM(F426:F431)</f>
        <v>350554</v>
      </c>
    </row>
    <row r="434" spans="1:16" x14ac:dyDescent="0.3">
      <c r="A434" s="12" t="s">
        <v>195</v>
      </c>
      <c r="B434" s="13" t="str">
        <f>B425</f>
        <v>Q1 FY14</v>
      </c>
      <c r="C434" s="13" t="str">
        <f>C425</f>
        <v>Q2 FY14</v>
      </c>
      <c r="D434" s="13" t="str">
        <f>D425</f>
        <v>Q3 FY14</v>
      </c>
      <c r="E434" s="13" t="str">
        <f>E425</f>
        <v>Q4 FY14</v>
      </c>
      <c r="F434" s="13" t="str">
        <f>F425</f>
        <v>FY 14</v>
      </c>
    </row>
    <row r="435" spans="1:16" x14ac:dyDescent="0.3">
      <c r="A435" s="15" t="s">
        <v>189</v>
      </c>
      <c r="B435" s="16">
        <f>B426+B417</f>
        <v>16260</v>
      </c>
      <c r="C435" s="16">
        <f>C426+C417</f>
        <v>18569</v>
      </c>
      <c r="D435" s="16">
        <f>D426+D417</f>
        <v>16135</v>
      </c>
      <c r="E435" s="16">
        <f>E426+E417</f>
        <v>24892</v>
      </c>
      <c r="F435" s="16">
        <f>F426+F417</f>
        <v>75856</v>
      </c>
    </row>
    <row r="436" spans="1:16" x14ac:dyDescent="0.3">
      <c r="A436" s="15" t="s">
        <v>190</v>
      </c>
      <c r="B436" s="16">
        <f t="shared" ref="B436:F441" si="26">B427+B418</f>
        <v>14681</v>
      </c>
      <c r="C436" s="16">
        <f t="shared" si="26"/>
        <v>16275</v>
      </c>
      <c r="D436" s="16">
        <f t="shared" si="26"/>
        <v>22202</v>
      </c>
      <c r="E436" s="16">
        <f t="shared" si="26"/>
        <v>18227</v>
      </c>
      <c r="F436" s="16">
        <f t="shared" si="26"/>
        <v>71385</v>
      </c>
    </row>
    <row r="437" spans="1:16" x14ac:dyDescent="0.3">
      <c r="A437" s="15" t="s">
        <v>191</v>
      </c>
      <c r="B437" s="16">
        <f t="shared" si="26"/>
        <v>17980</v>
      </c>
      <c r="C437" s="16">
        <f t="shared" si="26"/>
        <v>17523</v>
      </c>
      <c r="D437" s="16">
        <f t="shared" si="26"/>
        <v>22946</v>
      </c>
      <c r="E437" s="16">
        <f t="shared" si="26"/>
        <v>24262</v>
      </c>
      <c r="F437" s="16">
        <f t="shared" si="26"/>
        <v>82711</v>
      </c>
    </row>
    <row r="438" spans="1:16" x14ac:dyDescent="0.3">
      <c r="A438" s="15" t="s">
        <v>214</v>
      </c>
      <c r="B438" s="16">
        <f t="shared" si="26"/>
        <v>19230</v>
      </c>
      <c r="C438" s="16">
        <f t="shared" si="26"/>
        <v>26538</v>
      </c>
      <c r="D438" s="16">
        <f t="shared" si="26"/>
        <v>28908</v>
      </c>
      <c r="E438" s="16">
        <f t="shared" si="26"/>
        <v>29234</v>
      </c>
      <c r="F438" s="16">
        <f t="shared" si="26"/>
        <v>103910</v>
      </c>
    </row>
    <row r="439" spans="1:16" x14ac:dyDescent="0.3">
      <c r="A439" s="15" t="s">
        <v>216</v>
      </c>
      <c r="B439" s="16">
        <f t="shared" si="26"/>
        <v>5889</v>
      </c>
      <c r="C439" s="16">
        <f t="shared" si="26"/>
        <v>4887</v>
      </c>
      <c r="D439" s="16">
        <f t="shared" si="26"/>
        <v>5673</v>
      </c>
      <c r="E439" s="16">
        <f t="shared" si="26"/>
        <v>6244</v>
      </c>
      <c r="F439" s="16">
        <f t="shared" si="26"/>
        <v>22693</v>
      </c>
    </row>
    <row r="440" spans="1:16" x14ac:dyDescent="0.3">
      <c r="A440" s="15" t="s">
        <v>209</v>
      </c>
      <c r="B440" s="16">
        <f t="shared" si="26"/>
        <v>16580</v>
      </c>
      <c r="C440" s="16">
        <f t="shared" si="26"/>
        <v>18139</v>
      </c>
      <c r="D440" s="16">
        <f t="shared" si="26"/>
        <v>20493</v>
      </c>
      <c r="E440" s="16">
        <f t="shared" si="26"/>
        <v>18094</v>
      </c>
      <c r="F440" s="16">
        <f t="shared" si="26"/>
        <v>73306</v>
      </c>
    </row>
    <row r="441" spans="1:16" x14ac:dyDescent="0.3">
      <c r="A441" s="18" t="s">
        <v>196</v>
      </c>
      <c r="B441" s="83">
        <f>B432+B423</f>
        <v>90620</v>
      </c>
      <c r="C441" s="83">
        <f>C432+C423</f>
        <v>101931</v>
      </c>
      <c r="D441" s="83">
        <f t="shared" si="26"/>
        <v>116357</v>
      </c>
      <c r="E441" s="83">
        <f t="shared" si="26"/>
        <v>120953</v>
      </c>
      <c r="F441" s="83">
        <f t="shared" si="26"/>
        <v>429861</v>
      </c>
    </row>
    <row r="442" spans="1:16" x14ac:dyDescent="0.3">
      <c r="A442" s="89"/>
    </row>
    <row r="443" spans="1:16" s="92" customFormat="1" ht="5.25" customHeight="1" x14ac:dyDescent="0.3">
      <c r="A443" s="88"/>
      <c r="B443" s="88"/>
      <c r="C443" s="91"/>
      <c r="D443" s="91"/>
      <c r="E443" s="91"/>
      <c r="F443" s="91"/>
      <c r="H443" s="91"/>
      <c r="I443" s="91"/>
      <c r="J443" s="91"/>
      <c r="K443" s="91"/>
      <c r="L443" s="91"/>
      <c r="M443" s="91"/>
      <c r="N443" s="91"/>
      <c r="O443" s="91"/>
      <c r="P443" s="91"/>
    </row>
    <row r="444" spans="1:16" x14ac:dyDescent="0.3">
      <c r="A444" s="80"/>
    </row>
    <row r="445" spans="1:16" x14ac:dyDescent="0.3">
      <c r="A445" s="89"/>
    </row>
    <row r="446" spans="1:16" x14ac:dyDescent="0.3">
      <c r="A446" s="11" t="s">
        <v>131</v>
      </c>
    </row>
    <row r="447" spans="1:16" x14ac:dyDescent="0.3">
      <c r="A447" s="29"/>
    </row>
    <row r="448" spans="1:16" x14ac:dyDescent="0.3">
      <c r="A448" s="12" t="s">
        <v>33</v>
      </c>
      <c r="B448" s="13" t="s">
        <v>132</v>
      </c>
      <c r="C448" s="13" t="s">
        <v>133</v>
      </c>
      <c r="D448" s="13" t="s">
        <v>134</v>
      </c>
      <c r="E448" s="13" t="s">
        <v>135</v>
      </c>
      <c r="F448" s="13" t="s">
        <v>136</v>
      </c>
    </row>
    <row r="449" spans="1:6" x14ac:dyDescent="0.3">
      <c r="A449" s="15" t="s">
        <v>189</v>
      </c>
      <c r="B449" s="16">
        <v>2760</v>
      </c>
      <c r="C449" s="33">
        <v>3234</v>
      </c>
      <c r="D449" s="33">
        <v>3020</v>
      </c>
      <c r="E449" s="33">
        <v>4708</v>
      </c>
      <c r="F449" s="51">
        <f t="shared" ref="F449:F454" si="27">SUM(B449:E449)</f>
        <v>13722</v>
      </c>
    </row>
    <row r="450" spans="1:6" x14ac:dyDescent="0.3">
      <c r="A450" s="15" t="s">
        <v>190</v>
      </c>
      <c r="B450" s="16">
        <v>2323</v>
      </c>
      <c r="C450" s="33">
        <v>2352</v>
      </c>
      <c r="D450" s="33">
        <v>4716</v>
      </c>
      <c r="E450" s="33">
        <v>4892</v>
      </c>
      <c r="F450" s="51">
        <f t="shared" si="27"/>
        <v>14283</v>
      </c>
    </row>
    <row r="451" spans="1:6" x14ac:dyDescent="0.3">
      <c r="A451" s="15" t="s">
        <v>191</v>
      </c>
      <c r="B451" s="16">
        <v>2179</v>
      </c>
      <c r="C451" s="33">
        <v>1457</v>
      </c>
      <c r="D451" s="33">
        <v>2468</v>
      </c>
      <c r="E451" s="33">
        <v>3539</v>
      </c>
      <c r="F451" s="51">
        <f t="shared" si="27"/>
        <v>9643</v>
      </c>
    </row>
    <row r="452" spans="1:6" x14ac:dyDescent="0.3">
      <c r="A452" s="15" t="s">
        <v>214</v>
      </c>
      <c r="B452" s="16">
        <v>1929</v>
      </c>
      <c r="C452" s="33">
        <v>961</v>
      </c>
      <c r="D452" s="33">
        <v>2358</v>
      </c>
      <c r="E452" s="33">
        <v>5052</v>
      </c>
      <c r="F452" s="51">
        <f t="shared" si="27"/>
        <v>10300</v>
      </c>
    </row>
    <row r="453" spans="1:6" x14ac:dyDescent="0.3">
      <c r="A453" s="15" t="s">
        <v>216</v>
      </c>
      <c r="B453" s="16">
        <v>884</v>
      </c>
      <c r="C453" s="33">
        <v>832</v>
      </c>
      <c r="D453" s="33">
        <v>901</v>
      </c>
      <c r="E453" s="33">
        <v>1314</v>
      </c>
      <c r="F453" s="51">
        <f t="shared" si="27"/>
        <v>3931</v>
      </c>
    </row>
    <row r="454" spans="1:6" x14ac:dyDescent="0.3">
      <c r="A454" s="15" t="s">
        <v>209</v>
      </c>
      <c r="B454" s="16">
        <v>1699</v>
      </c>
      <c r="C454" s="33">
        <v>996</v>
      </c>
      <c r="D454" s="33">
        <v>1580</v>
      </c>
      <c r="E454" s="33">
        <v>1658</v>
      </c>
      <c r="F454" s="51">
        <f t="shared" si="27"/>
        <v>5933</v>
      </c>
    </row>
    <row r="455" spans="1:6" x14ac:dyDescent="0.3">
      <c r="A455" s="18" t="s">
        <v>41</v>
      </c>
      <c r="B455" s="20">
        <f>SUM(B449:B454)</f>
        <v>11774</v>
      </c>
      <c r="C455" s="20">
        <f>SUM(C449:C454)</f>
        <v>9832</v>
      </c>
      <c r="D455" s="20">
        <f>SUM(D449:D454)</f>
        <v>15043</v>
      </c>
      <c r="E455" s="20">
        <f>SUM(E449:E454)</f>
        <v>21163</v>
      </c>
      <c r="F455" s="20">
        <f>SUM(F449:F454)</f>
        <v>57812</v>
      </c>
    </row>
    <row r="457" spans="1:6" x14ac:dyDescent="0.3">
      <c r="A457" s="12" t="s">
        <v>72</v>
      </c>
      <c r="B457" s="13" t="s">
        <v>132</v>
      </c>
      <c r="C457" s="13" t="s">
        <v>133</v>
      </c>
      <c r="D457" s="13" t="s">
        <v>134</v>
      </c>
      <c r="E457" s="13" t="s">
        <v>135</v>
      </c>
      <c r="F457" s="13" t="s">
        <v>136</v>
      </c>
    </row>
    <row r="458" spans="1:6" x14ac:dyDescent="0.3">
      <c r="A458" s="15" t="s">
        <v>189</v>
      </c>
      <c r="B458" s="16">
        <v>10180</v>
      </c>
      <c r="C458" s="33">
        <v>12127</v>
      </c>
      <c r="D458" s="33">
        <v>11207</v>
      </c>
      <c r="E458" s="33">
        <v>20792</v>
      </c>
      <c r="F458" s="51">
        <f t="shared" ref="F458:F463" si="28">SUM(B458:E458)</f>
        <v>54306</v>
      </c>
    </row>
    <row r="459" spans="1:6" x14ac:dyDescent="0.3">
      <c r="A459" s="15" t="s">
        <v>190</v>
      </c>
      <c r="B459" s="16">
        <v>12487</v>
      </c>
      <c r="C459" s="33">
        <v>10805</v>
      </c>
      <c r="D459" s="33">
        <v>13234</v>
      </c>
      <c r="E459" s="33">
        <v>14130</v>
      </c>
      <c r="F459" s="51">
        <f t="shared" si="28"/>
        <v>50656</v>
      </c>
    </row>
    <row r="460" spans="1:6" x14ac:dyDescent="0.3">
      <c r="A460" s="15" t="s">
        <v>191</v>
      </c>
      <c r="B460" s="16">
        <v>15911</v>
      </c>
      <c r="C460" s="33">
        <v>13202</v>
      </c>
      <c r="D460" s="33">
        <v>19830</v>
      </c>
      <c r="E460" s="33">
        <v>20223</v>
      </c>
      <c r="F460" s="51">
        <f t="shared" si="28"/>
        <v>69166</v>
      </c>
    </row>
    <row r="461" spans="1:6" x14ac:dyDescent="0.3">
      <c r="A461" s="15" t="s">
        <v>214</v>
      </c>
      <c r="B461" s="16">
        <v>16635</v>
      </c>
      <c r="C461" s="33">
        <v>15413</v>
      </c>
      <c r="D461" s="33">
        <v>17623</v>
      </c>
      <c r="E461" s="33">
        <v>19487</v>
      </c>
      <c r="F461" s="51">
        <f t="shared" si="28"/>
        <v>69158</v>
      </c>
    </row>
    <row r="462" spans="1:6" x14ac:dyDescent="0.3">
      <c r="A462" s="15" t="s">
        <v>216</v>
      </c>
      <c r="B462" s="16">
        <v>2837</v>
      </c>
      <c r="C462" s="33">
        <v>3115</v>
      </c>
      <c r="D462" s="33">
        <v>3762</v>
      </c>
      <c r="E462" s="33">
        <v>4635</v>
      </c>
      <c r="F462" s="51">
        <f t="shared" si="28"/>
        <v>14349</v>
      </c>
    </row>
    <row r="463" spans="1:6" x14ac:dyDescent="0.3">
      <c r="A463" s="15" t="s">
        <v>209</v>
      </c>
      <c r="B463" s="16">
        <v>13628</v>
      </c>
      <c r="C463" s="33">
        <v>12948</v>
      </c>
      <c r="D463" s="33">
        <v>14129</v>
      </c>
      <c r="E463" s="33">
        <v>15910</v>
      </c>
      <c r="F463" s="51">
        <f t="shared" si="28"/>
        <v>56615</v>
      </c>
    </row>
    <row r="464" spans="1:6" x14ac:dyDescent="0.3">
      <c r="A464" s="18" t="s">
        <v>65</v>
      </c>
      <c r="B464" s="20">
        <f>SUM(B458:B463)</f>
        <v>71678</v>
      </c>
      <c r="C464" s="20">
        <f>SUM(C458:C463)</f>
        <v>67610</v>
      </c>
      <c r="D464" s="20">
        <f>SUM(D458:D463)</f>
        <v>79785</v>
      </c>
      <c r="E464" s="20">
        <f>SUM(E458:E463)</f>
        <v>95177</v>
      </c>
      <c r="F464" s="20">
        <f>SUM(F458:F463)</f>
        <v>314250</v>
      </c>
    </row>
    <row r="466" spans="1:16" x14ac:dyDescent="0.3">
      <c r="A466" s="12" t="s">
        <v>195</v>
      </c>
      <c r="B466" s="13" t="s">
        <v>132</v>
      </c>
      <c r="C466" s="13" t="s">
        <v>133</v>
      </c>
      <c r="D466" s="13" t="s">
        <v>134</v>
      </c>
      <c r="E466" s="13" t="s">
        <v>135</v>
      </c>
      <c r="F466" s="13" t="s">
        <v>136</v>
      </c>
    </row>
    <row r="467" spans="1:16" x14ac:dyDescent="0.3">
      <c r="A467" s="15" t="s">
        <v>189</v>
      </c>
      <c r="B467" s="16">
        <f t="shared" ref="B467:E473" si="29">B449+B458</f>
        <v>12940</v>
      </c>
      <c r="C467" s="16">
        <f t="shared" si="29"/>
        <v>15361</v>
      </c>
      <c r="D467" s="16">
        <f t="shared" si="29"/>
        <v>14227</v>
      </c>
      <c r="E467" s="16">
        <f t="shared" si="29"/>
        <v>25500</v>
      </c>
      <c r="F467" s="51">
        <f t="shared" ref="F467:F472" si="30">SUM(B467:E467)</f>
        <v>68028</v>
      </c>
    </row>
    <row r="468" spans="1:16" x14ac:dyDescent="0.3">
      <c r="A468" s="15" t="s">
        <v>190</v>
      </c>
      <c r="B468" s="16">
        <f t="shared" si="29"/>
        <v>14810</v>
      </c>
      <c r="C468" s="16">
        <f t="shared" si="29"/>
        <v>13157</v>
      </c>
      <c r="D468" s="16">
        <f t="shared" si="29"/>
        <v>17950</v>
      </c>
      <c r="E468" s="16">
        <f t="shared" si="29"/>
        <v>19022</v>
      </c>
      <c r="F468" s="51">
        <f t="shared" si="30"/>
        <v>64939</v>
      </c>
    </row>
    <row r="469" spans="1:16" x14ac:dyDescent="0.3">
      <c r="A469" s="15" t="s">
        <v>191</v>
      </c>
      <c r="B469" s="16">
        <f t="shared" si="29"/>
        <v>18090</v>
      </c>
      <c r="C469" s="16">
        <f t="shared" si="29"/>
        <v>14659</v>
      </c>
      <c r="D469" s="16">
        <f t="shared" si="29"/>
        <v>22298</v>
      </c>
      <c r="E469" s="16">
        <f t="shared" si="29"/>
        <v>23762</v>
      </c>
      <c r="F469" s="51">
        <f t="shared" si="30"/>
        <v>78809</v>
      </c>
    </row>
    <row r="470" spans="1:16" x14ac:dyDescent="0.3">
      <c r="A470" s="15" t="s">
        <v>214</v>
      </c>
      <c r="B470" s="16">
        <f t="shared" si="29"/>
        <v>18564</v>
      </c>
      <c r="C470" s="16">
        <f t="shared" si="29"/>
        <v>16374</v>
      </c>
      <c r="D470" s="16">
        <f t="shared" si="29"/>
        <v>19981</v>
      </c>
      <c r="E470" s="16">
        <f t="shared" si="29"/>
        <v>24539</v>
      </c>
      <c r="F470" s="51">
        <f t="shared" si="30"/>
        <v>79458</v>
      </c>
    </row>
    <row r="471" spans="1:16" x14ac:dyDescent="0.3">
      <c r="A471" s="15" t="s">
        <v>216</v>
      </c>
      <c r="B471" s="16">
        <f t="shared" si="29"/>
        <v>3721</v>
      </c>
      <c r="C471" s="16">
        <f t="shared" si="29"/>
        <v>3947</v>
      </c>
      <c r="D471" s="16">
        <f t="shared" si="29"/>
        <v>4663</v>
      </c>
      <c r="E471" s="16">
        <f t="shared" si="29"/>
        <v>5949</v>
      </c>
      <c r="F471" s="51">
        <f t="shared" si="30"/>
        <v>18280</v>
      </c>
    </row>
    <row r="472" spans="1:16" x14ac:dyDescent="0.3">
      <c r="A472" s="15" t="s">
        <v>209</v>
      </c>
      <c r="B472" s="16">
        <f t="shared" si="29"/>
        <v>15327</v>
      </c>
      <c r="C472" s="16">
        <f t="shared" si="29"/>
        <v>13944</v>
      </c>
      <c r="D472" s="16">
        <f t="shared" si="29"/>
        <v>15709</v>
      </c>
      <c r="E472" s="16">
        <f t="shared" si="29"/>
        <v>17568</v>
      </c>
      <c r="F472" s="51">
        <f t="shared" si="30"/>
        <v>62548</v>
      </c>
    </row>
    <row r="473" spans="1:16" x14ac:dyDescent="0.3">
      <c r="A473" s="18" t="s">
        <v>196</v>
      </c>
      <c r="B473" s="83">
        <f t="shared" si="29"/>
        <v>83452</v>
      </c>
      <c r="C473" s="83">
        <f t="shared" si="29"/>
        <v>77442</v>
      </c>
      <c r="D473" s="83">
        <f t="shared" si="29"/>
        <v>94828</v>
      </c>
      <c r="E473" s="83">
        <f t="shared" si="29"/>
        <v>116340</v>
      </c>
      <c r="F473" s="83">
        <f>F455+F464</f>
        <v>372062</v>
      </c>
    </row>
    <row r="474" spans="1:16" x14ac:dyDescent="0.3">
      <c r="A474" s="89"/>
    </row>
    <row r="475" spans="1:16" s="92" customFormat="1" ht="5.25" customHeight="1" x14ac:dyDescent="0.3">
      <c r="A475" s="88"/>
      <c r="B475" s="88"/>
      <c r="C475" s="91"/>
      <c r="D475" s="91"/>
      <c r="E475" s="91"/>
      <c r="F475" s="91"/>
      <c r="H475" s="91"/>
      <c r="I475" s="91"/>
      <c r="J475" s="91"/>
      <c r="K475" s="91"/>
      <c r="L475" s="91"/>
      <c r="M475" s="91"/>
      <c r="N475" s="91"/>
      <c r="O475" s="91"/>
      <c r="P475" s="91"/>
    </row>
    <row r="476" spans="1:16" x14ac:dyDescent="0.3">
      <c r="A476" s="89"/>
    </row>
    <row r="477" spans="1:16" x14ac:dyDescent="0.3">
      <c r="A477" s="89"/>
    </row>
    <row r="478" spans="1:16" x14ac:dyDescent="0.3">
      <c r="A478" s="11" t="s">
        <v>138</v>
      </c>
    </row>
    <row r="479" spans="1:16" x14ac:dyDescent="0.3">
      <c r="A479" s="29"/>
    </row>
    <row r="480" spans="1:16" x14ac:dyDescent="0.3">
      <c r="A480" s="12" t="s">
        <v>33</v>
      </c>
      <c r="B480" s="13" t="s">
        <v>139</v>
      </c>
      <c r="C480" s="13" t="s">
        <v>140</v>
      </c>
      <c r="D480" s="13" t="s">
        <v>141</v>
      </c>
      <c r="E480" s="13" t="s">
        <v>142</v>
      </c>
      <c r="F480" s="13" t="s">
        <v>143</v>
      </c>
    </row>
    <row r="481" spans="1:8" x14ac:dyDescent="0.3">
      <c r="A481" s="15" t="s">
        <v>189</v>
      </c>
      <c r="B481" s="33">
        <v>3381</v>
      </c>
      <c r="C481" s="33">
        <v>4232</v>
      </c>
      <c r="D481" s="33">
        <v>3053</v>
      </c>
      <c r="E481" s="33">
        <v>3236</v>
      </c>
      <c r="F481" s="51">
        <f t="shared" ref="F481:F486" si="31">SUM(B481:E481)</f>
        <v>13902</v>
      </c>
      <c r="H481" s="90"/>
    </row>
    <row r="482" spans="1:8" x14ac:dyDescent="0.3">
      <c r="A482" s="15" t="s">
        <v>190</v>
      </c>
      <c r="B482" s="33">
        <v>2921</v>
      </c>
      <c r="C482" s="33">
        <v>2780</v>
      </c>
      <c r="D482" s="33">
        <v>4371</v>
      </c>
      <c r="E482" s="33">
        <v>3158</v>
      </c>
      <c r="F482" s="51">
        <f t="shared" si="31"/>
        <v>13230</v>
      </c>
      <c r="H482" s="90"/>
    </row>
    <row r="483" spans="1:8" x14ac:dyDescent="0.3">
      <c r="A483" s="15" t="s">
        <v>191</v>
      </c>
      <c r="B483" s="33">
        <v>2151</v>
      </c>
      <c r="C483" s="33">
        <v>2447</v>
      </c>
      <c r="D483" s="33">
        <v>2939</v>
      </c>
      <c r="E483" s="33">
        <v>3017</v>
      </c>
      <c r="F483" s="51">
        <f t="shared" si="31"/>
        <v>10554</v>
      </c>
      <c r="H483" s="90"/>
    </row>
    <row r="484" spans="1:8" x14ac:dyDescent="0.3">
      <c r="A484" s="15" t="s">
        <v>214</v>
      </c>
      <c r="B484" s="33">
        <v>1288</v>
      </c>
      <c r="C484" s="33">
        <v>1765</v>
      </c>
      <c r="D484" s="33">
        <v>2420</v>
      </c>
      <c r="E484" s="33">
        <v>2253</v>
      </c>
      <c r="F484" s="51">
        <f t="shared" si="31"/>
        <v>7726</v>
      </c>
      <c r="H484" s="90"/>
    </row>
    <row r="485" spans="1:8" x14ac:dyDescent="0.3">
      <c r="A485" s="15" t="s">
        <v>216</v>
      </c>
      <c r="B485" s="33">
        <v>707</v>
      </c>
      <c r="C485" s="33">
        <v>726</v>
      </c>
      <c r="D485" s="33">
        <v>1048</v>
      </c>
      <c r="E485" s="33">
        <v>935</v>
      </c>
      <c r="F485" s="51">
        <f t="shared" si="31"/>
        <v>3416</v>
      </c>
      <c r="H485" s="90"/>
    </row>
    <row r="486" spans="1:8" x14ac:dyDescent="0.3">
      <c r="A486" s="15" t="s">
        <v>209</v>
      </c>
      <c r="B486" s="33">
        <v>895</v>
      </c>
      <c r="C486" s="33">
        <v>1356</v>
      </c>
      <c r="D486" s="33">
        <v>1441</v>
      </c>
      <c r="E486" s="33">
        <v>1519</v>
      </c>
      <c r="F486" s="51">
        <f t="shared" si="31"/>
        <v>5211</v>
      </c>
      <c r="H486" s="90"/>
    </row>
    <row r="487" spans="1:8" x14ac:dyDescent="0.3">
      <c r="A487" s="18" t="s">
        <v>41</v>
      </c>
      <c r="B487" s="20">
        <f>SUM(B481:B486)</f>
        <v>11343</v>
      </c>
      <c r="C487" s="20">
        <f>SUM(C481:C486)</f>
        <v>13306</v>
      </c>
      <c r="D487" s="20">
        <f>SUM(D481:D486)</f>
        <v>15272</v>
      </c>
      <c r="E487" s="20">
        <f>SUM(E481:E486)</f>
        <v>14118</v>
      </c>
      <c r="F487" s="20">
        <f>SUM(F481:F486)</f>
        <v>54039</v>
      </c>
      <c r="H487" s="90"/>
    </row>
    <row r="489" spans="1:8" x14ac:dyDescent="0.3">
      <c r="A489" s="12" t="s">
        <v>72</v>
      </c>
      <c r="B489" s="13" t="s">
        <v>139</v>
      </c>
      <c r="C489" s="13" t="s">
        <v>140</v>
      </c>
      <c r="D489" s="13" t="s">
        <v>141</v>
      </c>
      <c r="E489" s="13" t="s">
        <v>142</v>
      </c>
      <c r="F489" s="13" t="s">
        <v>143</v>
      </c>
    </row>
    <row r="490" spans="1:8" x14ac:dyDescent="0.3">
      <c r="A490" s="15" t="s">
        <v>189</v>
      </c>
      <c r="B490" s="33">
        <v>8685</v>
      </c>
      <c r="C490" s="33">
        <v>10848</v>
      </c>
      <c r="D490" s="33">
        <v>11176</v>
      </c>
      <c r="E490" s="33">
        <v>17185</v>
      </c>
      <c r="F490" s="51">
        <f t="shared" ref="F490:F495" si="32">SUM(B490:E490)</f>
        <v>47894</v>
      </c>
      <c r="H490" s="90"/>
    </row>
    <row r="491" spans="1:8" x14ac:dyDescent="0.3">
      <c r="A491" s="15" t="s">
        <v>190</v>
      </c>
      <c r="B491" s="33">
        <v>10125</v>
      </c>
      <c r="C491" s="33">
        <v>8948</v>
      </c>
      <c r="D491" s="33">
        <v>12830</v>
      </c>
      <c r="E491" s="33">
        <v>13194</v>
      </c>
      <c r="F491" s="51">
        <f t="shared" si="32"/>
        <v>45097</v>
      </c>
      <c r="H491" s="90"/>
    </row>
    <row r="492" spans="1:8" x14ac:dyDescent="0.3">
      <c r="A492" s="15" t="s">
        <v>191</v>
      </c>
      <c r="B492" s="33">
        <v>10499</v>
      </c>
      <c r="C492" s="33">
        <v>13102</v>
      </c>
      <c r="D492" s="33">
        <v>17621</v>
      </c>
      <c r="E492" s="33">
        <v>19804</v>
      </c>
      <c r="F492" s="51">
        <f t="shared" si="32"/>
        <v>61026</v>
      </c>
      <c r="H492" s="90"/>
    </row>
    <row r="493" spans="1:8" x14ac:dyDescent="0.3">
      <c r="A493" s="15" t="s">
        <v>214</v>
      </c>
      <c r="B493" s="33">
        <v>8440</v>
      </c>
      <c r="C493" s="33">
        <v>9352</v>
      </c>
      <c r="D493" s="33">
        <v>12690</v>
      </c>
      <c r="E493" s="33">
        <v>16324</v>
      </c>
      <c r="F493" s="51">
        <f t="shared" si="32"/>
        <v>46806</v>
      </c>
      <c r="H493" s="90"/>
    </row>
    <row r="494" spans="1:8" x14ac:dyDescent="0.3">
      <c r="A494" s="15" t="s">
        <v>216</v>
      </c>
      <c r="B494" s="33">
        <v>2613</v>
      </c>
      <c r="C494" s="33">
        <v>2226</v>
      </c>
      <c r="D494" s="33">
        <v>2223</v>
      </c>
      <c r="E494" s="33">
        <v>3989</v>
      </c>
      <c r="F494" s="51">
        <f t="shared" si="32"/>
        <v>11051</v>
      </c>
      <c r="H494" s="90"/>
    </row>
    <row r="495" spans="1:8" x14ac:dyDescent="0.3">
      <c r="A495" s="15" t="s">
        <v>209</v>
      </c>
      <c r="B495" s="33">
        <v>10385</v>
      </c>
      <c r="C495" s="33">
        <v>10218</v>
      </c>
      <c r="D495" s="33">
        <v>14510</v>
      </c>
      <c r="E495" s="33">
        <v>13407</v>
      </c>
      <c r="F495" s="51">
        <f t="shared" si="32"/>
        <v>48520</v>
      </c>
      <c r="H495" s="90"/>
    </row>
    <row r="496" spans="1:8" x14ac:dyDescent="0.3">
      <c r="A496" s="18" t="s">
        <v>65</v>
      </c>
      <c r="B496" s="20">
        <f>SUM(B490:B495)</f>
        <v>50747</v>
      </c>
      <c r="C496" s="20">
        <f>SUM(C490:C495)</f>
        <v>54694</v>
      </c>
      <c r="D496" s="20">
        <f>SUM(D490:D495)</f>
        <v>71050</v>
      </c>
      <c r="E496" s="20">
        <f>SUM(E490:E495)</f>
        <v>83903</v>
      </c>
      <c r="F496" s="20">
        <f>SUM(F490:F495)</f>
        <v>260394</v>
      </c>
      <c r="H496" s="90"/>
    </row>
    <row r="498" spans="1:16" x14ac:dyDescent="0.3">
      <c r="A498" s="12" t="s">
        <v>195</v>
      </c>
      <c r="B498" s="13" t="s">
        <v>139</v>
      </c>
      <c r="C498" s="13" t="s">
        <v>140</v>
      </c>
      <c r="D498" s="13" t="s">
        <v>141</v>
      </c>
      <c r="E498" s="13" t="s">
        <v>142</v>
      </c>
      <c r="F498" s="13" t="s">
        <v>143</v>
      </c>
    </row>
    <row r="499" spans="1:16" x14ac:dyDescent="0.3">
      <c r="A499" s="15" t="s">
        <v>189</v>
      </c>
      <c r="B499" s="51">
        <f t="shared" ref="B499:E505" si="33">B490+B481</f>
        <v>12066</v>
      </c>
      <c r="C499" s="51">
        <f t="shared" si="33"/>
        <v>15080</v>
      </c>
      <c r="D499" s="51">
        <f t="shared" si="33"/>
        <v>14229</v>
      </c>
      <c r="E499" s="51">
        <f t="shared" si="33"/>
        <v>20421</v>
      </c>
      <c r="F499" s="51">
        <f t="shared" ref="F499:F504" si="34">SUM(B499:E499)</f>
        <v>61796</v>
      </c>
    </row>
    <row r="500" spans="1:16" x14ac:dyDescent="0.3">
      <c r="A500" s="15" t="s">
        <v>190</v>
      </c>
      <c r="B500" s="51">
        <f t="shared" si="33"/>
        <v>13046</v>
      </c>
      <c r="C500" s="51">
        <f t="shared" si="33"/>
        <v>11728</v>
      </c>
      <c r="D500" s="51">
        <f t="shared" si="33"/>
        <v>17201</v>
      </c>
      <c r="E500" s="51">
        <f t="shared" si="33"/>
        <v>16352</v>
      </c>
      <c r="F500" s="51">
        <f t="shared" si="34"/>
        <v>58327</v>
      </c>
    </row>
    <row r="501" spans="1:16" x14ac:dyDescent="0.3">
      <c r="A501" s="15" t="s">
        <v>191</v>
      </c>
      <c r="B501" s="51">
        <f t="shared" si="33"/>
        <v>12650</v>
      </c>
      <c r="C501" s="51">
        <f t="shared" si="33"/>
        <v>15549</v>
      </c>
      <c r="D501" s="51">
        <f t="shared" si="33"/>
        <v>20560</v>
      </c>
      <c r="E501" s="51">
        <f t="shared" si="33"/>
        <v>22821</v>
      </c>
      <c r="F501" s="51">
        <f t="shared" si="34"/>
        <v>71580</v>
      </c>
    </row>
    <row r="502" spans="1:16" x14ac:dyDescent="0.3">
      <c r="A502" s="15" t="s">
        <v>214</v>
      </c>
      <c r="B502" s="51">
        <f t="shared" si="33"/>
        <v>9728</v>
      </c>
      <c r="C502" s="51">
        <f t="shared" si="33"/>
        <v>11117</v>
      </c>
      <c r="D502" s="51">
        <f t="shared" si="33"/>
        <v>15110</v>
      </c>
      <c r="E502" s="51">
        <f t="shared" si="33"/>
        <v>18577</v>
      </c>
      <c r="F502" s="51">
        <f t="shared" si="34"/>
        <v>54532</v>
      </c>
    </row>
    <row r="503" spans="1:16" x14ac:dyDescent="0.3">
      <c r="A503" s="15" t="s">
        <v>216</v>
      </c>
      <c r="B503" s="51">
        <f t="shared" si="33"/>
        <v>3320</v>
      </c>
      <c r="C503" s="51">
        <f t="shared" si="33"/>
        <v>2952</v>
      </c>
      <c r="D503" s="51">
        <f t="shared" si="33"/>
        <v>3271</v>
      </c>
      <c r="E503" s="51">
        <f t="shared" si="33"/>
        <v>4924</v>
      </c>
      <c r="F503" s="51">
        <f t="shared" si="34"/>
        <v>14467</v>
      </c>
    </row>
    <row r="504" spans="1:16" x14ac:dyDescent="0.3">
      <c r="A504" s="15" t="s">
        <v>209</v>
      </c>
      <c r="B504" s="51">
        <f t="shared" si="33"/>
        <v>11280</v>
      </c>
      <c r="C504" s="51">
        <f t="shared" si="33"/>
        <v>11574</v>
      </c>
      <c r="D504" s="51">
        <f t="shared" si="33"/>
        <v>15951</v>
      </c>
      <c r="E504" s="51">
        <f t="shared" si="33"/>
        <v>14926</v>
      </c>
      <c r="F504" s="51">
        <f t="shared" si="34"/>
        <v>53731</v>
      </c>
    </row>
    <row r="505" spans="1:16" x14ac:dyDescent="0.3">
      <c r="A505" s="18" t="s">
        <v>196</v>
      </c>
      <c r="B505" s="20">
        <f t="shared" si="33"/>
        <v>62090</v>
      </c>
      <c r="C505" s="20">
        <f t="shared" si="33"/>
        <v>68000</v>
      </c>
      <c r="D505" s="20">
        <f t="shared" si="33"/>
        <v>86322</v>
      </c>
      <c r="E505" s="20">
        <f t="shared" si="33"/>
        <v>98021</v>
      </c>
      <c r="F505" s="20">
        <f>SUM(F499:F504)</f>
        <v>314433</v>
      </c>
    </row>
    <row r="507" spans="1:16" s="92" customFormat="1" ht="5.25" customHeight="1" x14ac:dyDescent="0.3">
      <c r="A507" s="88"/>
      <c r="B507" s="88"/>
      <c r="C507" s="91"/>
      <c r="D507" s="91"/>
      <c r="E507" s="91"/>
      <c r="F507" s="91"/>
      <c r="H507" s="91"/>
      <c r="I507" s="91"/>
      <c r="J507" s="91"/>
      <c r="K507" s="91"/>
      <c r="L507" s="91"/>
      <c r="M507" s="91"/>
      <c r="N507" s="91"/>
      <c r="O507" s="91"/>
      <c r="P507" s="91"/>
    </row>
    <row r="508" spans="1:16" x14ac:dyDescent="0.3">
      <c r="A508" s="89"/>
    </row>
    <row r="509" spans="1:16" x14ac:dyDescent="0.3">
      <c r="A509" s="89"/>
    </row>
    <row r="510" spans="1:16" x14ac:dyDescent="0.3">
      <c r="A510" s="11" t="s">
        <v>144</v>
      </c>
    </row>
    <row r="511" spans="1:16" x14ac:dyDescent="0.3">
      <c r="A511" s="29"/>
    </row>
    <row r="512" spans="1:16" x14ac:dyDescent="0.3">
      <c r="A512" s="12" t="s">
        <v>33</v>
      </c>
      <c r="B512" s="13" t="s">
        <v>145</v>
      </c>
      <c r="C512" s="13" t="s">
        <v>146</v>
      </c>
      <c r="D512" s="13" t="s">
        <v>147</v>
      </c>
      <c r="E512" s="13" t="s">
        <v>148</v>
      </c>
      <c r="F512" s="30" t="s">
        <v>149</v>
      </c>
    </row>
    <row r="513" spans="1:6" x14ac:dyDescent="0.3">
      <c r="A513" s="15" t="s">
        <v>189</v>
      </c>
      <c r="B513" s="33">
        <v>4785</v>
      </c>
      <c r="C513" s="33">
        <v>4156</v>
      </c>
      <c r="D513" s="33">
        <v>3677</v>
      </c>
      <c r="E513" s="33">
        <v>3332</v>
      </c>
      <c r="F513" s="51">
        <f t="shared" ref="F513:F518" si="35">SUM(B513:E513)</f>
        <v>15950</v>
      </c>
    </row>
    <row r="514" spans="1:6" x14ac:dyDescent="0.3">
      <c r="A514" s="15" t="s">
        <v>190</v>
      </c>
      <c r="B514" s="33">
        <v>4956</v>
      </c>
      <c r="C514" s="33">
        <v>5145</v>
      </c>
      <c r="D514" s="33">
        <v>3696</v>
      </c>
      <c r="E514" s="33">
        <v>1960</v>
      </c>
      <c r="F514" s="51">
        <f t="shared" si="35"/>
        <v>15757</v>
      </c>
    </row>
    <row r="515" spans="1:6" x14ac:dyDescent="0.3">
      <c r="A515" s="15" t="s">
        <v>191</v>
      </c>
      <c r="B515" s="33">
        <v>3563</v>
      </c>
      <c r="C515" s="33">
        <v>2502</v>
      </c>
      <c r="D515" s="33">
        <v>2614</v>
      </c>
      <c r="E515" s="33">
        <v>2195</v>
      </c>
      <c r="F515" s="51">
        <f t="shared" si="35"/>
        <v>10874</v>
      </c>
    </row>
    <row r="516" spans="1:6" x14ac:dyDescent="0.3">
      <c r="A516" s="15" t="s">
        <v>214</v>
      </c>
      <c r="B516" s="33">
        <v>450</v>
      </c>
      <c r="C516" s="33">
        <v>457</v>
      </c>
      <c r="D516" s="33">
        <v>1025</v>
      </c>
      <c r="E516" s="33">
        <v>482</v>
      </c>
      <c r="F516" s="51">
        <f t="shared" si="35"/>
        <v>2414</v>
      </c>
    </row>
    <row r="517" spans="1:6" x14ac:dyDescent="0.3">
      <c r="A517" s="15" t="s">
        <v>216</v>
      </c>
      <c r="B517" s="33">
        <v>782</v>
      </c>
      <c r="C517" s="33">
        <v>954</v>
      </c>
      <c r="D517" s="33">
        <v>895</v>
      </c>
      <c r="E517" s="33">
        <v>854</v>
      </c>
      <c r="F517" s="51">
        <f t="shared" si="35"/>
        <v>3485</v>
      </c>
    </row>
    <row r="518" spans="1:6" x14ac:dyDescent="0.3">
      <c r="A518" s="15" t="s">
        <v>209</v>
      </c>
      <c r="B518" s="33">
        <v>919</v>
      </c>
      <c r="C518" s="33">
        <v>1111</v>
      </c>
      <c r="D518" s="33">
        <v>1265</v>
      </c>
      <c r="E518" s="33">
        <v>1218</v>
      </c>
      <c r="F518" s="51">
        <f t="shared" si="35"/>
        <v>4513</v>
      </c>
    </row>
    <row r="519" spans="1:6" x14ac:dyDescent="0.3">
      <c r="A519" s="18" t="s">
        <v>41</v>
      </c>
      <c r="B519" s="20">
        <f>SUM(B513:B518)</f>
        <v>15455</v>
      </c>
      <c r="C519" s="20">
        <f>SUM(C513:C518)</f>
        <v>14325</v>
      </c>
      <c r="D519" s="20">
        <f>SUM(D513:D518)</f>
        <v>13172</v>
      </c>
      <c r="E519" s="20">
        <f>SUM(E513:E518)</f>
        <v>10041</v>
      </c>
      <c r="F519" s="20">
        <f>SUM(F513:F518)</f>
        <v>52993</v>
      </c>
    </row>
    <row r="521" spans="1:6" x14ac:dyDescent="0.3">
      <c r="A521" s="12" t="s">
        <v>72</v>
      </c>
      <c r="B521" s="13" t="s">
        <v>145</v>
      </c>
      <c r="C521" s="13" t="s">
        <v>146</v>
      </c>
      <c r="D521" s="13" t="s">
        <v>147</v>
      </c>
      <c r="E521" s="13" t="s">
        <v>148</v>
      </c>
      <c r="F521" s="30" t="s">
        <v>149</v>
      </c>
    </row>
    <row r="522" spans="1:6" x14ac:dyDescent="0.3">
      <c r="A522" s="15" t="s">
        <v>189</v>
      </c>
      <c r="B522" s="33">
        <v>9754</v>
      </c>
      <c r="C522" s="33">
        <v>9882</v>
      </c>
      <c r="D522" s="33">
        <v>8275</v>
      </c>
      <c r="E522" s="33">
        <v>14697</v>
      </c>
      <c r="F522" s="51">
        <f t="shared" ref="F522:F527" si="36">SUM(B522:E522)</f>
        <v>42608</v>
      </c>
    </row>
    <row r="523" spans="1:6" x14ac:dyDescent="0.3">
      <c r="A523" s="15" t="s">
        <v>190</v>
      </c>
      <c r="B523" s="33">
        <v>8442</v>
      </c>
      <c r="C523" s="33">
        <v>8193</v>
      </c>
      <c r="D523" s="33">
        <v>10663</v>
      </c>
      <c r="E523" s="33">
        <v>9468</v>
      </c>
      <c r="F523" s="51">
        <f t="shared" si="36"/>
        <v>36766</v>
      </c>
    </row>
    <row r="524" spans="1:6" x14ac:dyDescent="0.3">
      <c r="A524" s="15" t="s">
        <v>191</v>
      </c>
      <c r="B524" s="33">
        <v>11149</v>
      </c>
      <c r="C524" s="33">
        <v>8068</v>
      </c>
      <c r="D524" s="33">
        <v>12827</v>
      </c>
      <c r="E524" s="33">
        <v>11615</v>
      </c>
      <c r="F524" s="51">
        <f t="shared" si="36"/>
        <v>43659</v>
      </c>
    </row>
    <row r="525" spans="1:6" x14ac:dyDescent="0.3">
      <c r="A525" s="15" t="s">
        <v>214</v>
      </c>
      <c r="B525" s="33">
        <v>4858</v>
      </c>
      <c r="C525" s="33">
        <v>5025</v>
      </c>
      <c r="D525" s="33">
        <v>7303</v>
      </c>
      <c r="E525" s="33">
        <v>8001</v>
      </c>
      <c r="F525" s="51">
        <f t="shared" si="36"/>
        <v>25187</v>
      </c>
    </row>
    <row r="526" spans="1:6" x14ac:dyDescent="0.3">
      <c r="A526" s="15" t="s">
        <v>216</v>
      </c>
      <c r="B526" s="33">
        <v>2129</v>
      </c>
      <c r="C526" s="33">
        <v>1613</v>
      </c>
      <c r="D526" s="33">
        <v>1710</v>
      </c>
      <c r="E526" s="33">
        <v>2459</v>
      </c>
      <c r="F526" s="51">
        <f t="shared" si="36"/>
        <v>7911</v>
      </c>
    </row>
    <row r="527" spans="1:6" x14ac:dyDescent="0.3">
      <c r="A527" s="15" t="s">
        <v>209</v>
      </c>
      <c r="B527" s="33">
        <v>7414</v>
      </c>
      <c r="C527" s="33">
        <v>8028</v>
      </c>
      <c r="D527" s="33">
        <v>9205</v>
      </c>
      <c r="E527" s="33">
        <v>9850</v>
      </c>
      <c r="F527" s="51">
        <f t="shared" si="36"/>
        <v>34497</v>
      </c>
    </row>
    <row r="528" spans="1:6" x14ac:dyDescent="0.3">
      <c r="A528" s="18" t="s">
        <v>65</v>
      </c>
      <c r="B528" s="20">
        <f>SUM(B522:B527)</f>
        <v>43746</v>
      </c>
      <c r="C528" s="20">
        <f>SUM(C522:C527)</f>
        <v>40809</v>
      </c>
      <c r="D528" s="20">
        <f>SUM(D522:D527)</f>
        <v>49983</v>
      </c>
      <c r="E528" s="20">
        <f>SUM(E522:E527)</f>
        <v>56090</v>
      </c>
      <c r="F528" s="20">
        <f>SUM(F522:F527)</f>
        <v>190628</v>
      </c>
    </row>
    <row r="531" spans="1:16" x14ac:dyDescent="0.3">
      <c r="A531" s="12" t="s">
        <v>195</v>
      </c>
      <c r="B531" s="13" t="s">
        <v>145</v>
      </c>
      <c r="C531" s="13" t="s">
        <v>146</v>
      </c>
      <c r="D531" s="13" t="s">
        <v>147</v>
      </c>
      <c r="E531" s="13" t="s">
        <v>148</v>
      </c>
      <c r="F531" s="30" t="s">
        <v>149</v>
      </c>
    </row>
    <row r="532" spans="1:16" x14ac:dyDescent="0.3">
      <c r="A532" s="15" t="s">
        <v>189</v>
      </c>
      <c r="B532" s="51">
        <f t="shared" ref="B532:E538" si="37">B513+B522</f>
        <v>14539</v>
      </c>
      <c r="C532" s="51">
        <f t="shared" si="37"/>
        <v>14038</v>
      </c>
      <c r="D532" s="51">
        <f t="shared" si="37"/>
        <v>11952</v>
      </c>
      <c r="E532" s="51">
        <f t="shared" si="37"/>
        <v>18029</v>
      </c>
      <c r="F532" s="51">
        <f t="shared" ref="F532:F537" si="38">SUM(B532:E532)</f>
        <v>58558</v>
      </c>
    </row>
    <row r="533" spans="1:16" x14ac:dyDescent="0.3">
      <c r="A533" s="15" t="s">
        <v>190</v>
      </c>
      <c r="B533" s="51">
        <f t="shared" si="37"/>
        <v>13398</v>
      </c>
      <c r="C533" s="51">
        <f t="shared" si="37"/>
        <v>13338</v>
      </c>
      <c r="D533" s="51">
        <f t="shared" si="37"/>
        <v>14359</v>
      </c>
      <c r="E533" s="51">
        <f t="shared" si="37"/>
        <v>11428</v>
      </c>
      <c r="F533" s="51">
        <f t="shared" si="38"/>
        <v>52523</v>
      </c>
    </row>
    <row r="534" spans="1:16" x14ac:dyDescent="0.3">
      <c r="A534" s="15" t="s">
        <v>191</v>
      </c>
      <c r="B534" s="51">
        <f t="shared" si="37"/>
        <v>14712</v>
      </c>
      <c r="C534" s="51">
        <f t="shared" si="37"/>
        <v>10570</v>
      </c>
      <c r="D534" s="51">
        <f t="shared" si="37"/>
        <v>15441</v>
      </c>
      <c r="E534" s="51">
        <f t="shared" si="37"/>
        <v>13810</v>
      </c>
      <c r="F534" s="51">
        <f t="shared" si="38"/>
        <v>54533</v>
      </c>
    </row>
    <row r="535" spans="1:16" x14ac:dyDescent="0.3">
      <c r="A535" s="15" t="s">
        <v>214</v>
      </c>
      <c r="B535" s="51">
        <f t="shared" si="37"/>
        <v>5308</v>
      </c>
      <c r="C535" s="51">
        <f t="shared" si="37"/>
        <v>5482</v>
      </c>
      <c r="D535" s="51">
        <f t="shared" si="37"/>
        <v>8328</v>
      </c>
      <c r="E535" s="51">
        <f t="shared" si="37"/>
        <v>8483</v>
      </c>
      <c r="F535" s="51">
        <f t="shared" si="38"/>
        <v>27601</v>
      </c>
    </row>
    <row r="536" spans="1:16" x14ac:dyDescent="0.3">
      <c r="A536" s="15" t="s">
        <v>216</v>
      </c>
      <c r="B536" s="51">
        <f t="shared" si="37"/>
        <v>2911</v>
      </c>
      <c r="C536" s="51">
        <f t="shared" si="37"/>
        <v>2567</v>
      </c>
      <c r="D536" s="51">
        <f t="shared" si="37"/>
        <v>2605</v>
      </c>
      <c r="E536" s="51">
        <f t="shared" si="37"/>
        <v>3313</v>
      </c>
      <c r="F536" s="51">
        <f t="shared" si="38"/>
        <v>11396</v>
      </c>
    </row>
    <row r="537" spans="1:16" x14ac:dyDescent="0.3">
      <c r="A537" s="15" t="s">
        <v>209</v>
      </c>
      <c r="B537" s="51">
        <f t="shared" si="37"/>
        <v>8333</v>
      </c>
      <c r="C537" s="51">
        <f t="shared" si="37"/>
        <v>9139</v>
      </c>
      <c r="D537" s="51">
        <f t="shared" si="37"/>
        <v>10470</v>
      </c>
      <c r="E537" s="51">
        <f t="shared" si="37"/>
        <v>11068</v>
      </c>
      <c r="F537" s="51">
        <f t="shared" si="38"/>
        <v>39010</v>
      </c>
    </row>
    <row r="538" spans="1:16" x14ac:dyDescent="0.3">
      <c r="A538" s="18" t="s">
        <v>196</v>
      </c>
      <c r="B538" s="20">
        <f t="shared" si="37"/>
        <v>59201</v>
      </c>
      <c r="C538" s="20">
        <f t="shared" si="37"/>
        <v>55134</v>
      </c>
      <c r="D538" s="20">
        <f t="shared" si="37"/>
        <v>63155</v>
      </c>
      <c r="E538" s="20">
        <f t="shared" si="37"/>
        <v>66131</v>
      </c>
      <c r="F538" s="20">
        <f>F519+F528</f>
        <v>243621</v>
      </c>
    </row>
    <row r="539" spans="1:16" x14ac:dyDescent="0.3">
      <c r="A539" s="78"/>
    </row>
    <row r="540" spans="1:16" s="92" customFormat="1" ht="5.25" customHeight="1" x14ac:dyDescent="0.3">
      <c r="A540" s="88"/>
      <c r="B540" s="88"/>
      <c r="C540" s="91"/>
      <c r="D540" s="91"/>
      <c r="E540" s="91"/>
      <c r="F540" s="91"/>
      <c r="H540" s="91"/>
      <c r="I540" s="91"/>
      <c r="J540" s="91"/>
      <c r="K540" s="91"/>
      <c r="L540" s="91"/>
      <c r="M540" s="91"/>
      <c r="N540" s="91"/>
      <c r="O540" s="91"/>
      <c r="P540" s="91"/>
    </row>
    <row r="543" spans="1:16" x14ac:dyDescent="0.3">
      <c r="A543" s="11" t="s">
        <v>152</v>
      </c>
    </row>
    <row r="544" spans="1:16" x14ac:dyDescent="0.3">
      <c r="A544" s="29"/>
    </row>
    <row r="545" spans="1:6" x14ac:dyDescent="0.3">
      <c r="A545" s="12" t="s">
        <v>33</v>
      </c>
      <c r="B545" s="13" t="s">
        <v>153</v>
      </c>
      <c r="C545" s="13" t="s">
        <v>154</v>
      </c>
      <c r="D545" s="13" t="s">
        <v>155</v>
      </c>
      <c r="E545" s="13" t="s">
        <v>156</v>
      </c>
      <c r="F545" s="30" t="s">
        <v>157</v>
      </c>
    </row>
    <row r="546" spans="1:6" x14ac:dyDescent="0.3">
      <c r="A546" s="15" t="s">
        <v>189</v>
      </c>
      <c r="B546" s="33">
        <v>4539</v>
      </c>
      <c r="C546" s="33">
        <v>4665</v>
      </c>
      <c r="D546" s="33">
        <v>4237</v>
      </c>
      <c r="E546" s="33">
        <v>4459</v>
      </c>
      <c r="F546" s="51">
        <f t="shared" ref="F546:F551" si="39">SUM(B546:E546)</f>
        <v>17900</v>
      </c>
    </row>
    <row r="547" spans="1:6" x14ac:dyDescent="0.3">
      <c r="A547" s="15" t="s">
        <v>190</v>
      </c>
      <c r="B547" s="33">
        <v>2312</v>
      </c>
      <c r="C547" s="33">
        <v>3651</v>
      </c>
      <c r="D547" s="33">
        <v>2990</v>
      </c>
      <c r="E547" s="33">
        <v>1853</v>
      </c>
      <c r="F547" s="51">
        <f t="shared" si="39"/>
        <v>10806</v>
      </c>
    </row>
    <row r="548" spans="1:6" x14ac:dyDescent="0.3">
      <c r="A548" s="15" t="s">
        <v>191</v>
      </c>
      <c r="B548" s="33">
        <v>2761</v>
      </c>
      <c r="C548" s="33">
        <v>1822</v>
      </c>
      <c r="D548" s="33">
        <v>3257</v>
      </c>
      <c r="E548" s="33">
        <v>2061</v>
      </c>
      <c r="F548" s="51">
        <f t="shared" si="39"/>
        <v>9901</v>
      </c>
    </row>
    <row r="549" spans="1:6" x14ac:dyDescent="0.3">
      <c r="A549" s="15" t="s">
        <v>214</v>
      </c>
      <c r="B549" s="33">
        <v>408</v>
      </c>
      <c r="C549" s="33">
        <v>269</v>
      </c>
      <c r="D549" s="33">
        <v>767</v>
      </c>
      <c r="E549" s="33">
        <v>1061</v>
      </c>
      <c r="F549" s="51">
        <f t="shared" si="39"/>
        <v>2505</v>
      </c>
    </row>
    <row r="550" spans="1:6" x14ac:dyDescent="0.3">
      <c r="A550" s="15" t="s">
        <v>216</v>
      </c>
      <c r="B550" s="33">
        <v>648</v>
      </c>
      <c r="C550" s="33">
        <v>479</v>
      </c>
      <c r="D550" s="33">
        <v>708</v>
      </c>
      <c r="E550" s="33">
        <v>712</v>
      </c>
      <c r="F550" s="51">
        <f t="shared" si="39"/>
        <v>2547</v>
      </c>
    </row>
    <row r="551" spans="1:6" x14ac:dyDescent="0.3">
      <c r="A551" s="15" t="s">
        <v>209</v>
      </c>
      <c r="B551" s="51">
        <v>963</v>
      </c>
      <c r="C551" s="51">
        <v>877</v>
      </c>
      <c r="D551" s="51">
        <v>1157</v>
      </c>
      <c r="E551" s="51">
        <v>762</v>
      </c>
      <c r="F551" s="51">
        <f t="shared" si="39"/>
        <v>3759</v>
      </c>
    </row>
    <row r="552" spans="1:6" x14ac:dyDescent="0.3">
      <c r="A552" s="18" t="s">
        <v>41</v>
      </c>
      <c r="B552" s="20">
        <f>SUM(B546:B551)</f>
        <v>11631</v>
      </c>
      <c r="C552" s="20">
        <f>SUM(C546:C551)</f>
        <v>11763</v>
      </c>
      <c r="D552" s="20">
        <f>SUM(D546:D551)</f>
        <v>13116</v>
      </c>
      <c r="E552" s="20">
        <f>SUM(E546:E551)</f>
        <v>10908</v>
      </c>
      <c r="F552" s="20">
        <f>SUM(F546:F551)</f>
        <v>47418</v>
      </c>
    </row>
    <row r="554" spans="1:6" x14ac:dyDescent="0.3">
      <c r="A554" s="12" t="s">
        <v>72</v>
      </c>
      <c r="B554" s="13" t="s">
        <v>153</v>
      </c>
      <c r="C554" s="13" t="s">
        <v>154</v>
      </c>
      <c r="D554" s="13" t="s">
        <v>155</v>
      </c>
      <c r="E554" s="13" t="s">
        <v>156</v>
      </c>
      <c r="F554" s="30" t="s">
        <v>157</v>
      </c>
    </row>
    <row r="555" spans="1:6" x14ac:dyDescent="0.3">
      <c r="A555" s="94" t="s">
        <v>189</v>
      </c>
      <c r="B555" s="33">
        <v>5782</v>
      </c>
      <c r="C555" s="33">
        <v>9535</v>
      </c>
      <c r="D555" s="33">
        <v>7432</v>
      </c>
      <c r="E555" s="33">
        <v>14421</v>
      </c>
      <c r="F555" s="51">
        <f t="shared" ref="F555:F560" si="40">SUM(B555:E555)</f>
        <v>37170</v>
      </c>
    </row>
    <row r="556" spans="1:6" x14ac:dyDescent="0.3">
      <c r="A556" s="94" t="s">
        <v>190</v>
      </c>
      <c r="B556" s="33">
        <v>4344</v>
      </c>
      <c r="C556" s="33">
        <v>5624</v>
      </c>
      <c r="D556" s="33">
        <v>9521</v>
      </c>
      <c r="E556" s="33">
        <v>7250</v>
      </c>
      <c r="F556" s="51">
        <f t="shared" si="40"/>
        <v>26739</v>
      </c>
    </row>
    <row r="557" spans="1:6" x14ac:dyDescent="0.3">
      <c r="A557" s="94" t="s">
        <v>191</v>
      </c>
      <c r="B557" s="33">
        <v>6249</v>
      </c>
      <c r="C557" s="33">
        <v>7412</v>
      </c>
      <c r="D557" s="33">
        <v>10677</v>
      </c>
      <c r="E557" s="33">
        <v>10420</v>
      </c>
      <c r="F557" s="51">
        <f t="shared" si="40"/>
        <v>34758</v>
      </c>
    </row>
    <row r="558" spans="1:6" x14ac:dyDescent="0.3">
      <c r="A558" s="94" t="s">
        <v>214</v>
      </c>
      <c r="B558" s="33">
        <v>2209</v>
      </c>
      <c r="C558" s="33">
        <v>3841</v>
      </c>
      <c r="D558" s="33">
        <v>5939</v>
      </c>
      <c r="E558" s="33">
        <v>4235</v>
      </c>
      <c r="F558" s="51">
        <f t="shared" si="40"/>
        <v>16224</v>
      </c>
    </row>
    <row r="559" spans="1:6" x14ac:dyDescent="0.3">
      <c r="A559" s="94" t="s">
        <v>216</v>
      </c>
      <c r="B559" s="33">
        <v>1269</v>
      </c>
      <c r="C559" s="33">
        <v>1114</v>
      </c>
      <c r="D559" s="33">
        <v>2204</v>
      </c>
      <c r="E559" s="33">
        <v>1466</v>
      </c>
      <c r="F559" s="51">
        <f t="shared" si="40"/>
        <v>6053</v>
      </c>
    </row>
    <row r="560" spans="1:6" x14ac:dyDescent="0.3">
      <c r="A560" s="94" t="s">
        <v>209</v>
      </c>
      <c r="B560" s="51">
        <v>4463</v>
      </c>
      <c r="C560" s="51">
        <v>5016</v>
      </c>
      <c r="D560" s="51">
        <v>7837</v>
      </c>
      <c r="E560" s="51">
        <v>8304</v>
      </c>
      <c r="F560" s="51">
        <f t="shared" si="40"/>
        <v>25620</v>
      </c>
    </row>
    <row r="561" spans="1:16" x14ac:dyDescent="0.3">
      <c r="A561" s="18" t="s">
        <v>65</v>
      </c>
      <c r="B561" s="20">
        <f>SUM(B555:B560)</f>
        <v>24316</v>
      </c>
      <c r="C561" s="20">
        <f>SUM(C555:C560)</f>
        <v>32542</v>
      </c>
      <c r="D561" s="20">
        <f>SUM(D555:D560)</f>
        <v>43610</v>
      </c>
      <c r="E561" s="20">
        <f>SUM(E555:E560)</f>
        <v>46096</v>
      </c>
      <c r="F561" s="20">
        <f>SUM(F555:F560)</f>
        <v>146564</v>
      </c>
    </row>
    <row r="563" spans="1:16" x14ac:dyDescent="0.3">
      <c r="A563" s="12" t="s">
        <v>195</v>
      </c>
      <c r="B563" s="13" t="s">
        <v>153</v>
      </c>
      <c r="C563" s="13" t="s">
        <v>154</v>
      </c>
      <c r="D563" s="13" t="s">
        <v>155</v>
      </c>
      <c r="E563" s="13" t="s">
        <v>156</v>
      </c>
      <c r="F563" s="30" t="s">
        <v>157</v>
      </c>
    </row>
    <row r="564" spans="1:16" x14ac:dyDescent="0.3">
      <c r="A564" s="15" t="s">
        <v>189</v>
      </c>
      <c r="B564" s="51">
        <f t="shared" ref="B564:F570" si="41">B546+B555</f>
        <v>10321</v>
      </c>
      <c r="C564" s="51">
        <f t="shared" si="41"/>
        <v>14200</v>
      </c>
      <c r="D564" s="51">
        <f t="shared" si="41"/>
        <v>11669</v>
      </c>
      <c r="E564" s="51">
        <f t="shared" si="41"/>
        <v>18880</v>
      </c>
      <c r="F564" s="51">
        <f t="shared" si="41"/>
        <v>55070</v>
      </c>
    </row>
    <row r="565" spans="1:16" x14ac:dyDescent="0.3">
      <c r="A565" s="15" t="s">
        <v>190</v>
      </c>
      <c r="B565" s="51">
        <f t="shared" si="41"/>
        <v>6656</v>
      </c>
      <c r="C565" s="51">
        <f t="shared" si="41"/>
        <v>9275</v>
      </c>
      <c r="D565" s="51">
        <f t="shared" si="41"/>
        <v>12511</v>
      </c>
      <c r="E565" s="51">
        <f t="shared" si="41"/>
        <v>9103</v>
      </c>
      <c r="F565" s="51">
        <f t="shared" si="41"/>
        <v>37545</v>
      </c>
    </row>
    <row r="566" spans="1:16" x14ac:dyDescent="0.3">
      <c r="A566" s="15" t="s">
        <v>191</v>
      </c>
      <c r="B566" s="51">
        <f t="shared" si="41"/>
        <v>9010</v>
      </c>
      <c r="C566" s="51">
        <f t="shared" si="41"/>
        <v>9234</v>
      </c>
      <c r="D566" s="51">
        <f t="shared" si="41"/>
        <v>13934</v>
      </c>
      <c r="E566" s="51">
        <f t="shared" si="41"/>
        <v>12481</v>
      </c>
      <c r="F566" s="51">
        <f t="shared" si="41"/>
        <v>44659</v>
      </c>
    </row>
    <row r="567" spans="1:16" x14ac:dyDescent="0.3">
      <c r="A567" s="15" t="s">
        <v>214</v>
      </c>
      <c r="B567" s="51">
        <f t="shared" si="41"/>
        <v>2617</v>
      </c>
      <c r="C567" s="51">
        <f t="shared" si="41"/>
        <v>4110</v>
      </c>
      <c r="D567" s="51">
        <f t="shared" si="41"/>
        <v>6706</v>
      </c>
      <c r="E567" s="51">
        <f t="shared" si="41"/>
        <v>5296</v>
      </c>
      <c r="F567" s="51">
        <f t="shared" si="41"/>
        <v>18729</v>
      </c>
    </row>
    <row r="568" spans="1:16" x14ac:dyDescent="0.3">
      <c r="A568" s="15" t="s">
        <v>216</v>
      </c>
      <c r="B568" s="51">
        <f t="shared" si="41"/>
        <v>1917</v>
      </c>
      <c r="C568" s="51">
        <f t="shared" si="41"/>
        <v>1593</v>
      </c>
      <c r="D568" s="51">
        <f t="shared" si="41"/>
        <v>2912</v>
      </c>
      <c r="E568" s="51">
        <f t="shared" si="41"/>
        <v>2178</v>
      </c>
      <c r="F568" s="51">
        <f t="shared" si="41"/>
        <v>8600</v>
      </c>
    </row>
    <row r="569" spans="1:16" x14ac:dyDescent="0.3">
      <c r="A569" s="15" t="s">
        <v>209</v>
      </c>
      <c r="B569" s="51">
        <f t="shared" si="41"/>
        <v>5426</v>
      </c>
      <c r="C569" s="51">
        <f t="shared" si="41"/>
        <v>5893</v>
      </c>
      <c r="D569" s="51">
        <f t="shared" si="41"/>
        <v>8994</v>
      </c>
      <c r="E569" s="51">
        <f t="shared" si="41"/>
        <v>9066</v>
      </c>
      <c r="F569" s="51">
        <f t="shared" si="41"/>
        <v>29379</v>
      </c>
    </row>
    <row r="570" spans="1:16" x14ac:dyDescent="0.3">
      <c r="A570" s="18" t="s">
        <v>196</v>
      </c>
      <c r="B570" s="20">
        <f t="shared" si="41"/>
        <v>35947</v>
      </c>
      <c r="C570" s="20">
        <f t="shared" si="41"/>
        <v>44305</v>
      </c>
      <c r="D570" s="20">
        <f t="shared" si="41"/>
        <v>56726</v>
      </c>
      <c r="E570" s="20">
        <f t="shared" si="41"/>
        <v>57004</v>
      </c>
      <c r="F570" s="20">
        <f t="shared" si="41"/>
        <v>193982</v>
      </c>
    </row>
    <row r="572" spans="1:16" s="92" customFormat="1" ht="5.25" customHeight="1" x14ac:dyDescent="0.3">
      <c r="A572" s="88"/>
      <c r="B572" s="88"/>
      <c r="C572" s="91"/>
      <c r="D572" s="91"/>
      <c r="E572" s="91"/>
      <c r="F572" s="91"/>
      <c r="H572" s="91"/>
      <c r="I572" s="91"/>
      <c r="J572" s="91"/>
      <c r="K572" s="91"/>
      <c r="L572" s="91"/>
      <c r="M572" s="91"/>
      <c r="N572" s="91"/>
      <c r="O572" s="91"/>
      <c r="P572" s="91"/>
    </row>
    <row r="575" spans="1:16" x14ac:dyDescent="0.3">
      <c r="A575" s="11" t="s">
        <v>158</v>
      </c>
    </row>
    <row r="576" spans="1:16" x14ac:dyDescent="0.3">
      <c r="A576" s="29"/>
    </row>
    <row r="577" spans="1:6" x14ac:dyDescent="0.3">
      <c r="A577" s="12" t="s">
        <v>33</v>
      </c>
      <c r="B577" s="13" t="s">
        <v>159</v>
      </c>
      <c r="C577" s="13" t="s">
        <v>160</v>
      </c>
      <c r="D577" s="13" t="s">
        <v>161</v>
      </c>
      <c r="E577" s="13" t="s">
        <v>162</v>
      </c>
      <c r="F577" s="30" t="s">
        <v>163</v>
      </c>
    </row>
    <row r="578" spans="1:6" x14ac:dyDescent="0.3">
      <c r="A578" s="15" t="s">
        <v>189</v>
      </c>
      <c r="B578" s="51">
        <v>1632</v>
      </c>
      <c r="C578" s="51">
        <v>5879</v>
      </c>
      <c r="D578" s="51">
        <v>4720</v>
      </c>
      <c r="E578" s="51">
        <v>2751</v>
      </c>
      <c r="F578" s="51">
        <f t="shared" ref="F578:F583" si="42">SUM(B578:E578)</f>
        <v>14982</v>
      </c>
    </row>
    <row r="579" spans="1:6" x14ac:dyDescent="0.3">
      <c r="A579" s="15" t="s">
        <v>190</v>
      </c>
      <c r="B579" s="51">
        <v>1715</v>
      </c>
      <c r="C579" s="51">
        <v>3961</v>
      </c>
      <c r="D579" s="51">
        <v>3325</v>
      </c>
      <c r="E579" s="51">
        <v>1174</v>
      </c>
      <c r="F579" s="51">
        <f t="shared" si="42"/>
        <v>10175</v>
      </c>
    </row>
    <row r="580" spans="1:6" x14ac:dyDescent="0.3">
      <c r="A580" s="15" t="s">
        <v>191</v>
      </c>
      <c r="B580" s="51">
        <v>2165</v>
      </c>
      <c r="C580" s="51">
        <v>4246</v>
      </c>
      <c r="D580" s="51">
        <v>3992</v>
      </c>
      <c r="E580" s="51">
        <v>2116</v>
      </c>
      <c r="F580" s="51">
        <f t="shared" si="42"/>
        <v>12519</v>
      </c>
    </row>
    <row r="581" spans="1:6" x14ac:dyDescent="0.3">
      <c r="A581" s="15" t="s">
        <v>214</v>
      </c>
      <c r="B581" s="51">
        <v>306</v>
      </c>
      <c r="C581" s="51">
        <v>231</v>
      </c>
      <c r="D581" s="51">
        <v>243</v>
      </c>
      <c r="E581" s="51">
        <v>163</v>
      </c>
      <c r="F581" s="51">
        <f t="shared" si="42"/>
        <v>943</v>
      </c>
    </row>
    <row r="582" spans="1:6" x14ac:dyDescent="0.3">
      <c r="A582" s="15" t="s">
        <v>216</v>
      </c>
      <c r="B582" s="51">
        <v>307</v>
      </c>
      <c r="C582" s="51">
        <v>738</v>
      </c>
      <c r="D582" s="51">
        <v>653</v>
      </c>
      <c r="E582" s="51">
        <v>372</v>
      </c>
      <c r="F582" s="51">
        <f t="shared" si="42"/>
        <v>2070</v>
      </c>
    </row>
    <row r="583" spans="1:6" x14ac:dyDescent="0.3">
      <c r="A583" s="15" t="s">
        <v>209</v>
      </c>
      <c r="B583" s="51">
        <v>943</v>
      </c>
      <c r="C583" s="51">
        <v>2480</v>
      </c>
      <c r="D583" s="51">
        <v>1777</v>
      </c>
      <c r="E583" s="51">
        <v>1168</v>
      </c>
      <c r="F583" s="51">
        <f t="shared" si="42"/>
        <v>6368</v>
      </c>
    </row>
    <row r="584" spans="1:6" x14ac:dyDescent="0.3">
      <c r="A584" s="18" t="s">
        <v>41</v>
      </c>
      <c r="B584" s="20">
        <f>SUM(B578:B583)</f>
        <v>7068</v>
      </c>
      <c r="C584" s="20">
        <f>SUM(C578:C583)</f>
        <v>17535</v>
      </c>
      <c r="D584" s="20">
        <f>SUM(D578:D583)</f>
        <v>14710</v>
      </c>
      <c r="E584" s="20">
        <f>SUM(E578:E583)</f>
        <v>7744</v>
      </c>
      <c r="F584" s="20">
        <f>SUM(F578:F583)</f>
        <v>47057</v>
      </c>
    </row>
    <row r="586" spans="1:6" x14ac:dyDescent="0.3">
      <c r="A586" s="12" t="s">
        <v>72</v>
      </c>
      <c r="B586" s="13" t="s">
        <v>159</v>
      </c>
      <c r="C586" s="13" t="s">
        <v>160</v>
      </c>
      <c r="D586" s="13" t="s">
        <v>161</v>
      </c>
      <c r="E586" s="13" t="s">
        <v>162</v>
      </c>
      <c r="F586" s="30" t="s">
        <v>163</v>
      </c>
    </row>
    <row r="587" spans="1:6" x14ac:dyDescent="0.3">
      <c r="A587" s="15" t="s">
        <v>189</v>
      </c>
      <c r="B587" s="51">
        <v>3997</v>
      </c>
      <c r="C587" s="51">
        <v>11007</v>
      </c>
      <c r="D587" s="51">
        <v>3544</v>
      </c>
      <c r="E587" s="51">
        <v>5100</v>
      </c>
      <c r="F587" s="51">
        <f t="shared" ref="F587:F592" si="43">SUM(B587:E587)</f>
        <v>23648</v>
      </c>
    </row>
    <row r="588" spans="1:6" x14ac:dyDescent="0.3">
      <c r="A588" s="15" t="s">
        <v>190</v>
      </c>
      <c r="B588" s="51">
        <v>2779</v>
      </c>
      <c r="C588" s="51">
        <v>6004</v>
      </c>
      <c r="D588" s="51">
        <v>6445</v>
      </c>
      <c r="E588" s="51">
        <v>4921</v>
      </c>
      <c r="F588" s="51">
        <f t="shared" si="43"/>
        <v>20149</v>
      </c>
    </row>
    <row r="589" spans="1:6" x14ac:dyDescent="0.3">
      <c r="A589" s="15" t="s">
        <v>191</v>
      </c>
      <c r="B589" s="51">
        <v>3990</v>
      </c>
      <c r="C589" s="51">
        <v>9046</v>
      </c>
      <c r="D589" s="51">
        <v>9309</v>
      </c>
      <c r="E589" s="51">
        <v>6508</v>
      </c>
      <c r="F589" s="51">
        <f t="shared" si="43"/>
        <v>28853</v>
      </c>
    </row>
    <row r="590" spans="1:6" x14ac:dyDescent="0.3">
      <c r="A590" s="15" t="s">
        <v>214</v>
      </c>
      <c r="B590" s="51">
        <v>895</v>
      </c>
      <c r="C590" s="51">
        <v>2551</v>
      </c>
      <c r="D590" s="51">
        <v>2597</v>
      </c>
      <c r="E590" s="51">
        <v>912</v>
      </c>
      <c r="F590" s="51">
        <f t="shared" si="43"/>
        <v>6955</v>
      </c>
    </row>
    <row r="591" spans="1:6" x14ac:dyDescent="0.3">
      <c r="A591" s="15" t="s">
        <v>216</v>
      </c>
      <c r="B591" s="51">
        <v>849</v>
      </c>
      <c r="C591" s="51">
        <v>1588</v>
      </c>
      <c r="D591" s="51">
        <v>1766</v>
      </c>
      <c r="E591" s="51">
        <v>1036</v>
      </c>
      <c r="F591" s="51">
        <f t="shared" si="43"/>
        <v>5239</v>
      </c>
    </row>
    <row r="592" spans="1:6" x14ac:dyDescent="0.3">
      <c r="A592" s="15" t="s">
        <v>209</v>
      </c>
      <c r="B592" s="51">
        <v>4500</v>
      </c>
      <c r="C592" s="51">
        <v>13690</v>
      </c>
      <c r="D592" s="51">
        <v>10815</v>
      </c>
      <c r="E592" s="51">
        <v>6442</v>
      </c>
      <c r="F592" s="51">
        <f t="shared" si="43"/>
        <v>35447</v>
      </c>
    </row>
    <row r="593" spans="1:16" x14ac:dyDescent="0.3">
      <c r="A593" s="18" t="s">
        <v>65</v>
      </c>
      <c r="B593" s="20">
        <f>SUM(B587:B592)</f>
        <v>17010</v>
      </c>
      <c r="C593" s="20">
        <f>SUM(C587:C592)</f>
        <v>43886</v>
      </c>
      <c r="D593" s="20">
        <f>SUM(D587:D592)</f>
        <v>34476</v>
      </c>
      <c r="E593" s="20">
        <f>SUM(E587:E592)</f>
        <v>24919</v>
      </c>
      <c r="F593" s="20">
        <f>SUM(F587:F592)</f>
        <v>120291</v>
      </c>
    </row>
    <row r="595" spans="1:16" x14ac:dyDescent="0.3">
      <c r="A595" s="12" t="s">
        <v>195</v>
      </c>
      <c r="B595" s="13" t="s">
        <v>159</v>
      </c>
      <c r="C595" s="13" t="s">
        <v>160</v>
      </c>
      <c r="D595" s="13" t="s">
        <v>161</v>
      </c>
      <c r="E595" s="13" t="s">
        <v>162</v>
      </c>
      <c r="F595" s="30" t="s">
        <v>163</v>
      </c>
    </row>
    <row r="596" spans="1:16" x14ac:dyDescent="0.3">
      <c r="A596" s="15" t="s">
        <v>189</v>
      </c>
      <c r="B596" s="51">
        <v>5629</v>
      </c>
      <c r="C596" s="51">
        <v>16886</v>
      </c>
      <c r="D596" s="51">
        <v>8264</v>
      </c>
      <c r="E596" s="51">
        <v>7851</v>
      </c>
      <c r="F596" s="51">
        <f t="shared" ref="F596:F601" si="44">SUM(B596:E596)</f>
        <v>38630</v>
      </c>
    </row>
    <row r="597" spans="1:16" x14ac:dyDescent="0.3">
      <c r="A597" s="15" t="s">
        <v>190</v>
      </c>
      <c r="B597" s="51">
        <v>4494</v>
      </c>
      <c r="C597" s="51">
        <v>9965</v>
      </c>
      <c r="D597" s="51">
        <v>9770</v>
      </c>
      <c r="E597" s="51">
        <v>6095</v>
      </c>
      <c r="F597" s="51">
        <f t="shared" si="44"/>
        <v>30324</v>
      </c>
    </row>
    <row r="598" spans="1:16" x14ac:dyDescent="0.3">
      <c r="A598" s="15" t="s">
        <v>191</v>
      </c>
      <c r="B598" s="51">
        <v>6155</v>
      </c>
      <c r="C598" s="51">
        <v>13292</v>
      </c>
      <c r="D598" s="51">
        <v>13301</v>
      </c>
      <c r="E598" s="51">
        <v>8624</v>
      </c>
      <c r="F598" s="51">
        <f t="shared" si="44"/>
        <v>41372</v>
      </c>
    </row>
    <row r="599" spans="1:16" x14ac:dyDescent="0.3">
      <c r="A599" s="15" t="s">
        <v>214</v>
      </c>
      <c r="B599" s="51">
        <v>1201</v>
      </c>
      <c r="C599" s="51">
        <v>2782</v>
      </c>
      <c r="D599" s="51">
        <v>2840</v>
      </c>
      <c r="E599" s="51">
        <v>1075</v>
      </c>
      <c r="F599" s="51">
        <f t="shared" si="44"/>
        <v>7898</v>
      </c>
    </row>
    <row r="600" spans="1:16" x14ac:dyDescent="0.3">
      <c r="A600" s="15" t="s">
        <v>216</v>
      </c>
      <c r="B600" s="51">
        <v>1156</v>
      </c>
      <c r="C600" s="51">
        <v>2326</v>
      </c>
      <c r="D600" s="51">
        <v>2419</v>
      </c>
      <c r="E600" s="51">
        <v>1408</v>
      </c>
      <c r="F600" s="51">
        <f t="shared" si="44"/>
        <v>7309</v>
      </c>
    </row>
    <row r="601" spans="1:16" x14ac:dyDescent="0.3">
      <c r="A601" s="15" t="s">
        <v>209</v>
      </c>
      <c r="B601" s="51">
        <v>5443</v>
      </c>
      <c r="C601" s="51">
        <v>16170</v>
      </c>
      <c r="D601" s="51">
        <v>12592</v>
      </c>
      <c r="E601" s="51">
        <v>7610</v>
      </c>
      <c r="F601" s="51">
        <f t="shared" si="44"/>
        <v>41815</v>
      </c>
    </row>
    <row r="602" spans="1:16" x14ac:dyDescent="0.3">
      <c r="A602" s="12" t="s">
        <v>196</v>
      </c>
      <c r="B602" s="20">
        <f>B584+B593</f>
        <v>24078</v>
      </c>
      <c r="C602" s="20">
        <f>C584+C593</f>
        <v>61421</v>
      </c>
      <c r="D602" s="20">
        <f>D584+D593</f>
        <v>49186</v>
      </c>
      <c r="E602" s="20">
        <f>E584+E593</f>
        <v>32663</v>
      </c>
      <c r="F602" s="20">
        <f>F584+F593</f>
        <v>167348</v>
      </c>
    </row>
    <row r="604" spans="1:16" s="92" customFormat="1" ht="5.25" customHeight="1" x14ac:dyDescent="0.3">
      <c r="A604" s="88"/>
      <c r="B604" s="88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</row>
    <row r="605" spans="1:16" x14ac:dyDescent="0.3">
      <c r="A605" s="57" t="s">
        <v>164</v>
      </c>
    </row>
  </sheetData>
  <pageMargins left="0.4" right="0.73" top="1" bottom="0.53" header="0.5" footer="0.5"/>
  <pageSetup paperSize="9" scale="26" orientation="landscape" r:id="rId1"/>
  <headerFooter alignWithMargins="0"/>
  <rowBreaks count="2" manualBreakCount="2">
    <brk id="507" max="5" man="1"/>
    <brk id="57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A430-0223-4C2B-8588-0A77A3299134}">
  <sheetPr>
    <pageSetUpPr fitToPage="1"/>
  </sheetPr>
  <dimension ref="A1:P607"/>
  <sheetViews>
    <sheetView showGridLines="0" zoomScaleNormal="100" workbookViewId="0">
      <pane xSplit="1" topLeftCell="B1" activePane="topRight" state="frozen"/>
      <selection activeCell="B41" sqref="B41"/>
      <selection pane="topRight" activeCell="D1" sqref="D1"/>
    </sheetView>
  </sheetViews>
  <sheetFormatPr defaultColWidth="19" defaultRowHeight="13" x14ac:dyDescent="0.3"/>
  <cols>
    <col min="1" max="1" width="35.6328125" style="69" customWidth="1"/>
    <col min="2" max="4" width="14.6328125" style="41" customWidth="1"/>
    <col min="5" max="7" width="14.6328125" style="52" customWidth="1"/>
    <col min="8" max="26" width="10.90625" style="52" customWidth="1"/>
    <col min="27" max="16384" width="19" style="52"/>
  </cols>
  <sheetData>
    <row r="1" spans="1:8" x14ac:dyDescent="0.3">
      <c r="A1" s="9" t="s">
        <v>217</v>
      </c>
      <c r="B1" s="52"/>
      <c r="C1" s="52"/>
      <c r="D1" s="52"/>
    </row>
    <row r="2" spans="1:8" x14ac:dyDescent="0.3">
      <c r="A2" s="66"/>
      <c r="B2" s="52"/>
      <c r="C2" s="52"/>
      <c r="D2" s="52"/>
    </row>
    <row r="3" spans="1:8" s="67" customFormat="1" x14ac:dyDescent="0.3">
      <c r="A3" s="11" t="s">
        <v>14</v>
      </c>
      <c r="B3" s="41"/>
      <c r="C3" s="41"/>
      <c r="D3" s="41"/>
      <c r="E3" s="52"/>
      <c r="F3" s="52"/>
    </row>
    <row r="4" spans="1:8" s="67" customFormat="1" x14ac:dyDescent="0.3">
      <c r="A4" s="29"/>
      <c r="B4" s="41"/>
      <c r="C4" s="41"/>
      <c r="D4" s="41"/>
      <c r="E4" s="52"/>
      <c r="F4" s="52"/>
    </row>
    <row r="5" spans="1:8" s="67" customFormat="1" x14ac:dyDescent="0.3">
      <c r="A5" s="12" t="s">
        <v>166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</row>
    <row r="6" spans="1:8" s="67" customFormat="1" x14ac:dyDescent="0.3">
      <c r="A6" s="15" t="s">
        <v>189</v>
      </c>
      <c r="B6" s="16">
        <f>[11]SmartView!D93</f>
        <v>8777</v>
      </c>
      <c r="C6" s="16">
        <v>8791</v>
      </c>
      <c r="D6" s="16">
        <v>7304</v>
      </c>
      <c r="E6" s="16">
        <f>[11]SmartView!G93</f>
        <v>0</v>
      </c>
      <c r="F6" s="16">
        <f t="shared" ref="F6:F11" si="0">B6+C6+D6+E6</f>
        <v>24872</v>
      </c>
      <c r="G6" s="68"/>
      <c r="H6" s="68"/>
    </row>
    <row r="7" spans="1:8" s="67" customFormat="1" x14ac:dyDescent="0.3">
      <c r="A7" s="15" t="s">
        <v>190</v>
      </c>
      <c r="B7" s="16">
        <f>[11]SmartView!D94</f>
        <v>17152</v>
      </c>
      <c r="C7" s="16">
        <v>14572</v>
      </c>
      <c r="D7" s="16">
        <v>13596</v>
      </c>
      <c r="E7" s="16">
        <f>[11]SmartView!G94</f>
        <v>0</v>
      </c>
      <c r="F7" s="16">
        <f t="shared" si="0"/>
        <v>45320</v>
      </c>
      <c r="G7" s="68"/>
      <c r="H7" s="68"/>
    </row>
    <row r="8" spans="1:8" s="67" customFormat="1" x14ac:dyDescent="0.3">
      <c r="A8" s="15" t="s">
        <v>191</v>
      </c>
      <c r="B8" s="16">
        <f>[11]SmartView!D95</f>
        <v>10211</v>
      </c>
      <c r="C8" s="16">
        <v>8450</v>
      </c>
      <c r="D8" s="16">
        <v>8298</v>
      </c>
      <c r="E8" s="16">
        <f>[11]SmartView!G95</f>
        <v>0</v>
      </c>
      <c r="F8" s="16">
        <f t="shared" si="0"/>
        <v>26959</v>
      </c>
      <c r="G8" s="68"/>
      <c r="H8" s="68"/>
    </row>
    <row r="9" spans="1:8" s="67" customFormat="1" x14ac:dyDescent="0.3">
      <c r="A9" s="15" t="s">
        <v>218</v>
      </c>
      <c r="B9" s="16">
        <f>[11]SmartView!D96</f>
        <v>8456</v>
      </c>
      <c r="C9" s="16">
        <v>7749</v>
      </c>
      <c r="D9" s="16">
        <v>8120</v>
      </c>
      <c r="E9" s="16">
        <f>[11]SmartView!G96</f>
        <v>0</v>
      </c>
      <c r="F9" s="16">
        <f t="shared" si="0"/>
        <v>24325</v>
      </c>
      <c r="H9" s="68"/>
    </row>
    <row r="10" spans="1:8" s="67" customFormat="1" x14ac:dyDescent="0.3">
      <c r="A10" s="15" t="s">
        <v>193</v>
      </c>
      <c r="B10" s="16">
        <f>[11]SmartView!D97</f>
        <v>5562</v>
      </c>
      <c r="C10" s="16">
        <v>5182</v>
      </c>
      <c r="D10" s="16">
        <v>4174</v>
      </c>
      <c r="E10" s="16">
        <f>[11]SmartView!G97</f>
        <v>0</v>
      </c>
      <c r="F10" s="16">
        <f t="shared" si="0"/>
        <v>14918</v>
      </c>
      <c r="G10" s="68"/>
      <c r="H10" s="68"/>
    </row>
    <row r="11" spans="1:8" s="67" customFormat="1" x14ac:dyDescent="0.3">
      <c r="A11" s="15" t="s">
        <v>194</v>
      </c>
      <c r="B11" s="16">
        <f>[11]SmartView!D98</f>
        <v>3197</v>
      </c>
      <c r="C11" s="16">
        <v>2452</v>
      </c>
      <c r="D11" s="16">
        <v>2193</v>
      </c>
      <c r="E11" s="16">
        <f>[11]SmartView!G98</f>
        <v>0</v>
      </c>
      <c r="F11" s="16">
        <f t="shared" si="0"/>
        <v>7842</v>
      </c>
      <c r="G11" s="68"/>
      <c r="H11" s="68"/>
    </row>
    <row r="12" spans="1:8" s="67" customFormat="1" x14ac:dyDescent="0.3">
      <c r="A12" s="18" t="s">
        <v>25</v>
      </c>
      <c r="B12" s="20">
        <f>SUM(B6:B11)</f>
        <v>53355</v>
      </c>
      <c r="C12" s="20">
        <f t="shared" ref="C12:F12" si="1">SUM(C6:C11)</f>
        <v>47196</v>
      </c>
      <c r="D12" s="20">
        <f t="shared" si="1"/>
        <v>43685</v>
      </c>
      <c r="E12" s="20">
        <f t="shared" si="1"/>
        <v>0</v>
      </c>
      <c r="F12" s="20">
        <f t="shared" si="1"/>
        <v>144236</v>
      </c>
      <c r="G12" s="68"/>
    </row>
    <row r="13" spans="1:8" s="67" customFormat="1" x14ac:dyDescent="0.3">
      <c r="A13" s="69"/>
      <c r="B13" s="41"/>
      <c r="C13" s="41"/>
      <c r="D13" s="41"/>
      <c r="E13" s="41"/>
      <c r="F13" s="41"/>
    </row>
    <row r="14" spans="1:8" s="67" customFormat="1" x14ac:dyDescent="0.3">
      <c r="A14" s="12" t="s">
        <v>167</v>
      </c>
      <c r="B14" s="13" t="s">
        <v>16</v>
      </c>
      <c r="C14" s="13" t="s">
        <v>17</v>
      </c>
      <c r="D14" s="13" t="s">
        <v>18</v>
      </c>
      <c r="E14" s="13" t="s">
        <v>19</v>
      </c>
      <c r="F14" s="13" t="s">
        <v>20</v>
      </c>
    </row>
    <row r="15" spans="1:8" s="67" customFormat="1" x14ac:dyDescent="0.3">
      <c r="A15" s="15" t="s">
        <v>189</v>
      </c>
      <c r="B15" s="16">
        <f>[11]SmartView!D100</f>
        <v>4648</v>
      </c>
      <c r="C15" s="16">
        <v>3322</v>
      </c>
      <c r="D15" s="16">
        <v>4371</v>
      </c>
      <c r="E15" s="16">
        <f>[11]SmartView!G100</f>
        <v>0</v>
      </c>
      <c r="F15" s="16">
        <f t="shared" ref="F15:F20" si="2">B15+C15+D15+E15</f>
        <v>12341</v>
      </c>
      <c r="G15" s="68"/>
      <c r="H15" s="68"/>
    </row>
    <row r="16" spans="1:8" s="67" customFormat="1" x14ac:dyDescent="0.3">
      <c r="A16" s="15" t="s">
        <v>190</v>
      </c>
      <c r="B16" s="16">
        <f>[11]SmartView!D101</f>
        <v>7436</v>
      </c>
      <c r="C16" s="16">
        <v>6162</v>
      </c>
      <c r="D16" s="16">
        <v>5874</v>
      </c>
      <c r="E16" s="16">
        <f>[11]SmartView!G101</f>
        <v>0</v>
      </c>
      <c r="F16" s="16">
        <f t="shared" si="2"/>
        <v>19472</v>
      </c>
      <c r="G16" s="68"/>
      <c r="H16" s="68"/>
    </row>
    <row r="17" spans="1:8" s="67" customFormat="1" x14ac:dyDescent="0.3">
      <c r="A17" s="15" t="s">
        <v>191</v>
      </c>
      <c r="B17" s="16">
        <f>[11]SmartView!D102</f>
        <v>4546</v>
      </c>
      <c r="C17" s="16">
        <v>4303</v>
      </c>
      <c r="D17" s="16">
        <v>3397</v>
      </c>
      <c r="E17" s="16">
        <f>[11]SmartView!G102</f>
        <v>0</v>
      </c>
      <c r="F17" s="16">
        <f t="shared" si="2"/>
        <v>12246</v>
      </c>
      <c r="G17" s="68"/>
      <c r="H17" s="68"/>
    </row>
    <row r="18" spans="1:8" s="67" customFormat="1" x14ac:dyDescent="0.3">
      <c r="A18" s="15" t="s">
        <v>218</v>
      </c>
      <c r="B18" s="16">
        <f>[11]SmartView!D103</f>
        <v>4071</v>
      </c>
      <c r="C18" s="16">
        <v>3983</v>
      </c>
      <c r="D18" s="16">
        <v>3968</v>
      </c>
      <c r="E18" s="16">
        <f>[11]SmartView!G103</f>
        <v>0</v>
      </c>
      <c r="F18" s="16">
        <f t="shared" si="2"/>
        <v>12022</v>
      </c>
      <c r="H18" s="68"/>
    </row>
    <row r="19" spans="1:8" s="67" customFormat="1" x14ac:dyDescent="0.3">
      <c r="A19" s="15" t="s">
        <v>193</v>
      </c>
      <c r="B19" s="16">
        <f>[11]SmartView!D104</f>
        <v>4416</v>
      </c>
      <c r="C19" s="16">
        <v>4958</v>
      </c>
      <c r="D19" s="16">
        <v>3458</v>
      </c>
      <c r="E19" s="16">
        <f>[11]SmartView!G104</f>
        <v>0</v>
      </c>
      <c r="F19" s="16">
        <f t="shared" si="2"/>
        <v>12832</v>
      </c>
      <c r="G19" s="68"/>
      <c r="H19" s="68"/>
    </row>
    <row r="20" spans="1:8" s="67" customFormat="1" x14ac:dyDescent="0.3">
      <c r="A20" s="15" t="s">
        <v>194</v>
      </c>
      <c r="B20" s="16">
        <f>[11]SmartView!D105</f>
        <v>2371</v>
      </c>
      <c r="C20" s="16">
        <v>2642</v>
      </c>
      <c r="D20" s="16">
        <v>2966</v>
      </c>
      <c r="E20" s="16">
        <f>[11]SmartView!G105</f>
        <v>0</v>
      </c>
      <c r="F20" s="16">
        <f t="shared" si="2"/>
        <v>7979</v>
      </c>
      <c r="G20" s="68"/>
      <c r="H20" s="68"/>
    </row>
    <row r="21" spans="1:8" s="67" customFormat="1" x14ac:dyDescent="0.3">
      <c r="A21" s="18" t="s">
        <v>28</v>
      </c>
      <c r="B21" s="20">
        <f>SUM(B15:B20)</f>
        <v>27488</v>
      </c>
      <c r="C21" s="20">
        <f t="shared" ref="C21:F21" si="3">SUM(C15:C20)</f>
        <v>25370</v>
      </c>
      <c r="D21" s="20">
        <f t="shared" si="3"/>
        <v>24034</v>
      </c>
      <c r="E21" s="20">
        <f t="shared" si="3"/>
        <v>0</v>
      </c>
      <c r="F21" s="20">
        <f t="shared" si="3"/>
        <v>76892</v>
      </c>
      <c r="G21" s="68"/>
    </row>
    <row r="22" spans="1:8" s="67" customFormat="1" x14ac:dyDescent="0.3">
      <c r="A22" s="69"/>
      <c r="B22" s="41"/>
      <c r="C22" s="41"/>
      <c r="D22" s="41"/>
      <c r="E22" s="41"/>
      <c r="F22" s="41"/>
    </row>
    <row r="23" spans="1:8" s="67" customFormat="1" x14ac:dyDescent="0.3">
      <c r="A23" s="12" t="s">
        <v>168</v>
      </c>
      <c r="B23" s="13" t="s">
        <v>16</v>
      </c>
      <c r="C23" s="13" t="s">
        <v>17</v>
      </c>
      <c r="D23" s="13" t="s">
        <v>18</v>
      </c>
      <c r="E23" s="13" t="s">
        <v>19</v>
      </c>
      <c r="F23" s="13" t="s">
        <v>20</v>
      </c>
    </row>
    <row r="24" spans="1:8" s="67" customFormat="1" x14ac:dyDescent="0.3">
      <c r="A24" s="15" t="s">
        <v>189</v>
      </c>
      <c r="B24" s="16">
        <f>[11]SmartView!D107</f>
        <v>2672</v>
      </c>
      <c r="C24" s="16">
        <v>2058</v>
      </c>
      <c r="D24" s="16">
        <v>2452</v>
      </c>
      <c r="E24" s="16">
        <f>[11]SmartView!G107</f>
        <v>0</v>
      </c>
      <c r="F24" s="16">
        <f t="shared" ref="F24:F29" si="4">B24+C24+D24+E24</f>
        <v>7182</v>
      </c>
      <c r="G24" s="68"/>
      <c r="H24" s="68"/>
    </row>
    <row r="25" spans="1:8" s="67" customFormat="1" x14ac:dyDescent="0.3">
      <c r="A25" s="15" t="s">
        <v>190</v>
      </c>
      <c r="B25" s="16">
        <f>[11]SmartView!D108</f>
        <v>1795</v>
      </c>
      <c r="C25" s="16">
        <v>926</v>
      </c>
      <c r="D25" s="16">
        <v>1294</v>
      </c>
      <c r="E25" s="16">
        <f>[11]SmartView!G108</f>
        <v>0</v>
      </c>
      <c r="F25" s="16">
        <f t="shared" si="4"/>
        <v>4015</v>
      </c>
      <c r="G25" s="68"/>
      <c r="H25" s="68"/>
    </row>
    <row r="26" spans="1:8" s="67" customFormat="1" x14ac:dyDescent="0.3">
      <c r="A26" s="15" t="s">
        <v>191</v>
      </c>
      <c r="B26" s="16">
        <f>[11]SmartView!D109</f>
        <v>1126</v>
      </c>
      <c r="C26" s="16">
        <v>1095</v>
      </c>
      <c r="D26" s="16">
        <v>899</v>
      </c>
      <c r="E26" s="16">
        <f>[11]SmartView!G109</f>
        <v>0</v>
      </c>
      <c r="F26" s="16">
        <f t="shared" si="4"/>
        <v>3120</v>
      </c>
      <c r="G26" s="68"/>
      <c r="H26" s="68"/>
    </row>
    <row r="27" spans="1:8" s="67" customFormat="1" x14ac:dyDescent="0.3">
      <c r="A27" s="15" t="s">
        <v>218</v>
      </c>
      <c r="B27" s="16">
        <f>[11]SmartView!D110</f>
        <v>1817</v>
      </c>
      <c r="C27" s="16">
        <v>1014</v>
      </c>
      <c r="D27" s="16">
        <v>510</v>
      </c>
      <c r="E27" s="16">
        <f>[11]SmartView!G110</f>
        <v>0</v>
      </c>
      <c r="F27" s="16">
        <f t="shared" si="4"/>
        <v>3341</v>
      </c>
      <c r="H27" s="68"/>
    </row>
    <row r="28" spans="1:8" s="67" customFormat="1" x14ac:dyDescent="0.3">
      <c r="A28" s="15" t="s">
        <v>193</v>
      </c>
      <c r="B28" s="16">
        <f>[11]SmartView!D111</f>
        <v>834</v>
      </c>
      <c r="C28" s="16">
        <v>785</v>
      </c>
      <c r="D28" s="16">
        <v>738</v>
      </c>
      <c r="E28" s="16">
        <f>[11]SmartView!G111</f>
        <v>0</v>
      </c>
      <c r="F28" s="16">
        <f t="shared" si="4"/>
        <v>2357</v>
      </c>
      <c r="G28" s="68"/>
      <c r="H28" s="68"/>
    </row>
    <row r="29" spans="1:8" s="67" customFormat="1" x14ac:dyDescent="0.3">
      <c r="A29" s="15" t="s">
        <v>194</v>
      </c>
      <c r="B29" s="16">
        <f>[11]SmartView!D112</f>
        <v>34</v>
      </c>
      <c r="C29" s="16">
        <v>17</v>
      </c>
      <c r="D29" s="16">
        <v>27</v>
      </c>
      <c r="E29" s="16">
        <f>[11]SmartView!G112</f>
        <v>0</v>
      </c>
      <c r="F29" s="16">
        <f t="shared" si="4"/>
        <v>78</v>
      </c>
      <c r="G29" s="68"/>
      <c r="H29" s="68"/>
    </row>
    <row r="30" spans="1:8" s="67" customFormat="1" x14ac:dyDescent="0.3">
      <c r="A30" s="18" t="s">
        <v>32</v>
      </c>
      <c r="B30" s="20">
        <f>SUM(B24:B29)</f>
        <v>8278</v>
      </c>
      <c r="C30" s="20">
        <f t="shared" ref="C30:F30" si="5">SUM(C24:C29)</f>
        <v>5895</v>
      </c>
      <c r="D30" s="20">
        <f t="shared" si="5"/>
        <v>5920</v>
      </c>
      <c r="E30" s="20">
        <f t="shared" si="5"/>
        <v>0</v>
      </c>
      <c r="F30" s="20">
        <f t="shared" si="5"/>
        <v>20093</v>
      </c>
      <c r="G30" s="68"/>
    </row>
    <row r="31" spans="1:8" s="67" customFormat="1" x14ac:dyDescent="0.3">
      <c r="A31" s="69"/>
      <c r="B31" s="41"/>
      <c r="C31" s="41"/>
      <c r="D31" s="41"/>
      <c r="E31" s="41"/>
      <c r="F31" s="41"/>
    </row>
    <row r="32" spans="1:8" s="67" customFormat="1" x14ac:dyDescent="0.3">
      <c r="A32" s="12" t="s">
        <v>169</v>
      </c>
      <c r="B32" s="13" t="s">
        <v>16</v>
      </c>
      <c r="C32" s="13" t="s">
        <v>17</v>
      </c>
      <c r="D32" s="13" t="s">
        <v>18</v>
      </c>
      <c r="E32" s="13" t="s">
        <v>19</v>
      </c>
      <c r="F32" s="13" t="s">
        <v>20</v>
      </c>
    </row>
    <row r="33" spans="1:8" s="67" customFormat="1" x14ac:dyDescent="0.3">
      <c r="A33" s="15" t="s">
        <v>189</v>
      </c>
      <c r="B33" s="16">
        <f>[11]SmartView!D114</f>
        <v>0</v>
      </c>
      <c r="C33" s="16">
        <v>0</v>
      </c>
      <c r="D33" s="16">
        <v>0</v>
      </c>
      <c r="E33" s="16">
        <f>[11]SmartView!G114</f>
        <v>0</v>
      </c>
      <c r="F33" s="16">
        <f t="shared" ref="F33:F38" si="6">B33+C33+D33+E33</f>
        <v>0</v>
      </c>
      <c r="G33" s="68"/>
      <c r="H33" s="68"/>
    </row>
    <row r="34" spans="1:8" s="67" customFormat="1" x14ac:dyDescent="0.3">
      <c r="A34" s="15" t="s">
        <v>190</v>
      </c>
      <c r="B34" s="16">
        <f>[11]SmartView!D115</f>
        <v>1671</v>
      </c>
      <c r="C34" s="16">
        <v>1258</v>
      </c>
      <c r="D34" s="16">
        <v>1496</v>
      </c>
      <c r="E34" s="16">
        <f>[11]SmartView!G115</f>
        <v>0</v>
      </c>
      <c r="F34" s="16">
        <f t="shared" si="6"/>
        <v>4425</v>
      </c>
      <c r="G34" s="68"/>
      <c r="H34" s="68"/>
    </row>
    <row r="35" spans="1:8" s="67" customFormat="1" x14ac:dyDescent="0.3">
      <c r="A35" s="15" t="s">
        <v>191</v>
      </c>
      <c r="B35" s="16">
        <f>[11]SmartView!D116</f>
        <v>207</v>
      </c>
      <c r="C35" s="16">
        <v>32</v>
      </c>
      <c r="D35" s="16">
        <v>1</v>
      </c>
      <c r="E35" s="16">
        <f>[11]SmartView!G116</f>
        <v>0</v>
      </c>
      <c r="F35" s="16">
        <f t="shared" si="6"/>
        <v>240</v>
      </c>
      <c r="G35" s="68"/>
      <c r="H35" s="68"/>
    </row>
    <row r="36" spans="1:8" s="67" customFormat="1" x14ac:dyDescent="0.3">
      <c r="A36" s="15" t="s">
        <v>218</v>
      </c>
      <c r="B36" s="16">
        <f>[11]SmartView!D117</f>
        <v>2869</v>
      </c>
      <c r="C36" s="16">
        <v>5275</v>
      </c>
      <c r="D36" s="16">
        <v>4402</v>
      </c>
      <c r="E36" s="16">
        <f>[11]SmartView!G117</f>
        <v>0</v>
      </c>
      <c r="F36" s="16">
        <f t="shared" si="6"/>
        <v>12546</v>
      </c>
      <c r="H36" s="68"/>
    </row>
    <row r="37" spans="1:8" s="67" customFormat="1" x14ac:dyDescent="0.3">
      <c r="A37" s="15" t="s">
        <v>193</v>
      </c>
      <c r="B37" s="16">
        <f>[11]SmartView!D118</f>
        <v>336</v>
      </c>
      <c r="C37" s="16">
        <v>197</v>
      </c>
      <c r="D37" s="16">
        <v>120</v>
      </c>
      <c r="E37" s="16">
        <f>[11]SmartView!G118</f>
        <v>0</v>
      </c>
      <c r="F37" s="16">
        <f t="shared" si="6"/>
        <v>653</v>
      </c>
      <c r="G37" s="68"/>
      <c r="H37" s="68"/>
    </row>
    <row r="38" spans="1:8" s="67" customFormat="1" x14ac:dyDescent="0.3">
      <c r="A38" s="15" t="s">
        <v>194</v>
      </c>
      <c r="B38" s="16">
        <f>[11]SmartView!D119</f>
        <v>216</v>
      </c>
      <c r="C38" s="16">
        <v>148</v>
      </c>
      <c r="D38" s="16">
        <v>140</v>
      </c>
      <c r="E38" s="16">
        <f>[11]SmartView!G119</f>
        <v>0</v>
      </c>
      <c r="F38" s="16">
        <f t="shared" si="6"/>
        <v>504</v>
      </c>
      <c r="G38" s="68"/>
      <c r="H38" s="68"/>
    </row>
    <row r="39" spans="1:8" s="67" customFormat="1" x14ac:dyDescent="0.3">
      <c r="A39" s="18" t="s">
        <v>41</v>
      </c>
      <c r="B39" s="20">
        <f>SUM(B33:B38)</f>
        <v>5299</v>
      </c>
      <c r="C39" s="20">
        <f t="shared" ref="C39:F39" si="7">SUM(C33:C38)</f>
        <v>6910</v>
      </c>
      <c r="D39" s="20">
        <f t="shared" si="7"/>
        <v>6159</v>
      </c>
      <c r="E39" s="20">
        <f t="shared" si="7"/>
        <v>0</v>
      </c>
      <c r="F39" s="20">
        <f t="shared" si="7"/>
        <v>18368</v>
      </c>
      <c r="G39" s="68"/>
    </row>
    <row r="40" spans="1:8" s="67" customFormat="1" x14ac:dyDescent="0.3">
      <c r="A40" s="69"/>
      <c r="B40" s="41"/>
      <c r="C40" s="41"/>
      <c r="D40" s="41"/>
      <c r="E40" s="41"/>
      <c r="F40" s="41"/>
    </row>
    <row r="41" spans="1:8" s="67" customFormat="1" x14ac:dyDescent="0.3">
      <c r="A41" s="12" t="s">
        <v>219</v>
      </c>
      <c r="B41" s="13" t="s">
        <v>16</v>
      </c>
      <c r="C41" s="13" t="s">
        <v>17</v>
      </c>
      <c r="D41" s="13" t="s">
        <v>18</v>
      </c>
      <c r="E41" s="13" t="s">
        <v>19</v>
      </c>
      <c r="F41" s="13" t="s">
        <v>20</v>
      </c>
    </row>
    <row r="42" spans="1:8" s="67" customFormat="1" x14ac:dyDescent="0.3">
      <c r="A42" s="15" t="s">
        <v>189</v>
      </c>
      <c r="B42" s="16">
        <f t="shared" ref="B42:F47" si="8">B6+B15+B24+B33</f>
        <v>16097</v>
      </c>
      <c r="C42" s="16">
        <f t="shared" si="8"/>
        <v>14171</v>
      </c>
      <c r="D42" s="16">
        <f t="shared" si="8"/>
        <v>14127</v>
      </c>
      <c r="E42" s="16">
        <f t="shared" si="8"/>
        <v>0</v>
      </c>
      <c r="F42" s="16">
        <f t="shared" si="8"/>
        <v>44395</v>
      </c>
    </row>
    <row r="43" spans="1:8" s="67" customFormat="1" x14ac:dyDescent="0.3">
      <c r="A43" s="15" t="s">
        <v>190</v>
      </c>
      <c r="B43" s="16">
        <f t="shared" si="8"/>
        <v>28054</v>
      </c>
      <c r="C43" s="16">
        <f t="shared" si="8"/>
        <v>22918</v>
      </c>
      <c r="D43" s="16">
        <f t="shared" si="8"/>
        <v>22260</v>
      </c>
      <c r="E43" s="16">
        <f t="shared" si="8"/>
        <v>0</v>
      </c>
      <c r="F43" s="16">
        <f t="shared" si="8"/>
        <v>73232</v>
      </c>
    </row>
    <row r="44" spans="1:8" s="67" customFormat="1" x14ac:dyDescent="0.3">
      <c r="A44" s="15" t="s">
        <v>191</v>
      </c>
      <c r="B44" s="16">
        <f t="shared" si="8"/>
        <v>16090</v>
      </c>
      <c r="C44" s="16">
        <f t="shared" si="8"/>
        <v>13880</v>
      </c>
      <c r="D44" s="16">
        <f t="shared" si="8"/>
        <v>12595</v>
      </c>
      <c r="E44" s="16">
        <f t="shared" si="8"/>
        <v>0</v>
      </c>
      <c r="F44" s="16">
        <f t="shared" si="8"/>
        <v>42565</v>
      </c>
    </row>
    <row r="45" spans="1:8" s="67" customFormat="1" x14ac:dyDescent="0.3">
      <c r="A45" s="15" t="s">
        <v>218</v>
      </c>
      <c r="B45" s="16">
        <f t="shared" si="8"/>
        <v>17213</v>
      </c>
      <c r="C45" s="16">
        <f t="shared" si="8"/>
        <v>18021</v>
      </c>
      <c r="D45" s="16">
        <f t="shared" si="8"/>
        <v>17000</v>
      </c>
      <c r="E45" s="16">
        <f t="shared" si="8"/>
        <v>0</v>
      </c>
      <c r="F45" s="16">
        <f t="shared" si="8"/>
        <v>52234</v>
      </c>
    </row>
    <row r="46" spans="1:8" s="67" customFormat="1" x14ac:dyDescent="0.3">
      <c r="A46" s="15" t="s">
        <v>193</v>
      </c>
      <c r="B46" s="16">
        <f t="shared" si="8"/>
        <v>11148</v>
      </c>
      <c r="C46" s="16">
        <f t="shared" si="8"/>
        <v>11122</v>
      </c>
      <c r="D46" s="16">
        <f t="shared" si="8"/>
        <v>8490</v>
      </c>
      <c r="E46" s="16">
        <f t="shared" si="8"/>
        <v>0</v>
      </c>
      <c r="F46" s="16">
        <f t="shared" si="8"/>
        <v>30760</v>
      </c>
    </row>
    <row r="47" spans="1:8" s="67" customFormat="1" x14ac:dyDescent="0.3">
      <c r="A47" s="15" t="s">
        <v>194</v>
      </c>
      <c r="B47" s="16">
        <f t="shared" si="8"/>
        <v>5818</v>
      </c>
      <c r="C47" s="16">
        <f t="shared" si="8"/>
        <v>5259</v>
      </c>
      <c r="D47" s="16">
        <f t="shared" si="8"/>
        <v>5326</v>
      </c>
      <c r="E47" s="16">
        <f t="shared" si="8"/>
        <v>0</v>
      </c>
      <c r="F47" s="16">
        <f t="shared" si="8"/>
        <v>16403</v>
      </c>
    </row>
    <row r="48" spans="1:8" s="67" customFormat="1" x14ac:dyDescent="0.3">
      <c r="A48" s="18" t="s">
        <v>196</v>
      </c>
      <c r="B48" s="70">
        <f>SUM(B42:B47)</f>
        <v>94420</v>
      </c>
      <c r="C48" s="70">
        <f t="shared" ref="C48:F48" si="9">SUM(C42:C47)</f>
        <v>85371</v>
      </c>
      <c r="D48" s="70">
        <f t="shared" si="9"/>
        <v>79798</v>
      </c>
      <c r="E48" s="70">
        <f t="shared" si="9"/>
        <v>0</v>
      </c>
      <c r="F48" s="70">
        <f t="shared" si="9"/>
        <v>259589</v>
      </c>
      <c r="G48" s="71"/>
    </row>
    <row r="49" spans="1:8" s="67" customFormat="1" x14ac:dyDescent="0.3">
      <c r="A49" s="73"/>
      <c r="B49" s="95"/>
      <c r="C49" s="95"/>
      <c r="D49" s="95"/>
      <c r="E49" s="95"/>
      <c r="F49" s="95"/>
      <c r="G49" s="96"/>
    </row>
    <row r="50" spans="1:8" s="67" customFormat="1" x14ac:dyDescent="0.3">
      <c r="A50" s="86" t="s">
        <v>199</v>
      </c>
      <c r="B50" s="97">
        <f>SUM([11]SmartView!D30:D34)</f>
        <v>6330</v>
      </c>
      <c r="C50" s="97">
        <v>7417</v>
      </c>
      <c r="D50" s="97">
        <v>7368</v>
      </c>
      <c r="E50" s="97">
        <f>SUM([11]SmartView!G30:G34)</f>
        <v>0</v>
      </c>
      <c r="F50" s="97">
        <f>SUM(B50:E50)</f>
        <v>21115</v>
      </c>
      <c r="H50" s="68"/>
    </row>
    <row r="51" spans="1:8" s="67" customFormat="1" x14ac:dyDescent="0.3">
      <c r="A51" s="73"/>
      <c r="B51" s="95"/>
      <c r="C51" s="95"/>
      <c r="D51" s="95"/>
      <c r="E51" s="95"/>
      <c r="F51" s="95"/>
      <c r="H51" s="68"/>
    </row>
    <row r="52" spans="1:8" s="99" customFormat="1" ht="6" customHeight="1" x14ac:dyDescent="0.3">
      <c r="A52" s="75"/>
      <c r="B52" s="98"/>
      <c r="C52" s="98"/>
      <c r="D52" s="98"/>
      <c r="E52" s="98"/>
      <c r="F52" s="98"/>
    </row>
    <row r="53" spans="1:8" ht="6" customHeight="1" x14ac:dyDescent="0.3">
      <c r="A53" s="78"/>
      <c r="B53" s="100"/>
      <c r="C53" s="100"/>
      <c r="D53" s="100"/>
      <c r="E53" s="100"/>
      <c r="F53" s="100"/>
    </row>
    <row r="54" spans="1:8" s="67" customFormat="1" x14ac:dyDescent="0.3">
      <c r="A54" s="11" t="s">
        <v>44</v>
      </c>
      <c r="B54" s="41"/>
      <c r="C54" s="41"/>
      <c r="D54" s="41"/>
      <c r="E54" s="52"/>
      <c r="F54" s="52"/>
    </row>
    <row r="55" spans="1:8" s="67" customFormat="1" x14ac:dyDescent="0.3">
      <c r="A55" s="29"/>
      <c r="B55" s="41"/>
      <c r="C55" s="41"/>
      <c r="D55" s="41"/>
      <c r="E55" s="52"/>
      <c r="F55" s="52"/>
    </row>
    <row r="56" spans="1:8" s="67" customFormat="1" x14ac:dyDescent="0.3">
      <c r="A56" s="12" t="s">
        <v>166</v>
      </c>
      <c r="B56" s="13" t="s">
        <v>45</v>
      </c>
      <c r="C56" s="13" t="s">
        <v>46</v>
      </c>
      <c r="D56" s="13" t="s">
        <v>47</v>
      </c>
      <c r="E56" s="13" t="s">
        <v>48</v>
      </c>
      <c r="F56" s="13" t="s">
        <v>20</v>
      </c>
    </row>
    <row r="57" spans="1:8" s="67" customFormat="1" x14ac:dyDescent="0.3">
      <c r="A57" s="15" t="s">
        <v>189</v>
      </c>
      <c r="B57" s="16">
        <v>9605</v>
      </c>
      <c r="C57" s="16">
        <v>10605</v>
      </c>
      <c r="D57" s="16">
        <v>7044</v>
      </c>
      <c r="E57" s="16">
        <v>12929</v>
      </c>
      <c r="F57" s="16">
        <v>40183</v>
      </c>
      <c r="G57" s="68"/>
      <c r="H57" s="68"/>
    </row>
    <row r="58" spans="1:8" s="67" customFormat="1" x14ac:dyDescent="0.3">
      <c r="A58" s="15" t="s">
        <v>190</v>
      </c>
      <c r="B58" s="16">
        <v>15500</v>
      </c>
      <c r="C58" s="16">
        <v>13749</v>
      </c>
      <c r="D58" s="16">
        <v>21142</v>
      </c>
      <c r="E58" s="16">
        <v>18550</v>
      </c>
      <c r="F58" s="16">
        <v>68941</v>
      </c>
      <c r="G58" s="68"/>
      <c r="H58" s="68"/>
    </row>
    <row r="59" spans="1:8" s="67" customFormat="1" x14ac:dyDescent="0.3">
      <c r="A59" s="15" t="s">
        <v>191</v>
      </c>
      <c r="B59" s="16">
        <v>12901</v>
      </c>
      <c r="C59" s="16">
        <v>10418</v>
      </c>
      <c r="D59" s="16">
        <v>10316</v>
      </c>
      <c r="E59" s="16">
        <v>10802</v>
      </c>
      <c r="F59" s="16">
        <v>44437</v>
      </c>
      <c r="G59" s="68"/>
      <c r="H59" s="68"/>
    </row>
    <row r="60" spans="1:8" s="67" customFormat="1" x14ac:dyDescent="0.3">
      <c r="A60" s="15" t="s">
        <v>218</v>
      </c>
      <c r="B60" s="16">
        <v>9749</v>
      </c>
      <c r="C60" s="16">
        <v>9003</v>
      </c>
      <c r="D60" s="16">
        <v>9700</v>
      </c>
      <c r="E60" s="16">
        <v>8194</v>
      </c>
      <c r="F60" s="16">
        <v>36646</v>
      </c>
      <c r="H60" s="68"/>
    </row>
    <row r="61" spans="1:8" s="67" customFormat="1" x14ac:dyDescent="0.3">
      <c r="A61" s="15" t="s">
        <v>193</v>
      </c>
      <c r="B61" s="16">
        <v>9305</v>
      </c>
      <c r="C61" s="16">
        <v>8394</v>
      </c>
      <c r="D61" s="16">
        <v>8067</v>
      </c>
      <c r="E61" s="16">
        <v>9074</v>
      </c>
      <c r="F61" s="16">
        <f>B61+C61+D61+E61</f>
        <v>34840</v>
      </c>
      <c r="G61" s="68"/>
      <c r="H61" s="68"/>
    </row>
    <row r="62" spans="1:8" s="67" customFormat="1" x14ac:dyDescent="0.3">
      <c r="A62" s="18" t="s">
        <v>25</v>
      </c>
      <c r="B62" s="20">
        <f>SUM(B57:B61)</f>
        <v>57060</v>
      </c>
      <c r="C62" s="20">
        <f>SUM(C57:C61)</f>
        <v>52169</v>
      </c>
      <c r="D62" s="20">
        <f>SUM(D57:D61)</f>
        <v>56269</v>
      </c>
      <c r="E62" s="20">
        <f>SUM(E57:E61)</f>
        <v>59549</v>
      </c>
      <c r="F62" s="20">
        <f>SUM(F57:F61)</f>
        <v>225047</v>
      </c>
      <c r="G62" s="68"/>
    </row>
    <row r="63" spans="1:8" s="67" customFormat="1" x14ac:dyDescent="0.3">
      <c r="A63" s="69"/>
      <c r="B63" s="41"/>
      <c r="C63" s="41"/>
      <c r="D63" s="41"/>
      <c r="E63" s="41"/>
      <c r="F63" s="41"/>
    </row>
    <row r="64" spans="1:8" s="67" customFormat="1" x14ac:dyDescent="0.3">
      <c r="A64" s="12" t="s">
        <v>167</v>
      </c>
      <c r="B64" s="13" t="s">
        <v>45</v>
      </c>
      <c r="C64" s="13" t="s">
        <v>46</v>
      </c>
      <c r="D64" s="13" t="s">
        <v>47</v>
      </c>
      <c r="E64" s="13" t="s">
        <v>48</v>
      </c>
      <c r="F64" s="13" t="s">
        <v>20</v>
      </c>
    </row>
    <row r="65" spans="1:8" s="67" customFormat="1" x14ac:dyDescent="0.3">
      <c r="A65" s="15" t="s">
        <v>189</v>
      </c>
      <c r="B65" s="16">
        <v>3550</v>
      </c>
      <c r="C65" s="16">
        <v>4280</v>
      </c>
      <c r="D65" s="16">
        <v>3674</v>
      </c>
      <c r="E65" s="16">
        <v>5830</v>
      </c>
      <c r="F65" s="16">
        <v>17334</v>
      </c>
      <c r="G65" s="68"/>
      <c r="H65" s="68"/>
    </row>
    <row r="66" spans="1:8" s="67" customFormat="1" x14ac:dyDescent="0.3">
      <c r="A66" s="15" t="s">
        <v>190</v>
      </c>
      <c r="B66" s="16">
        <v>7473</v>
      </c>
      <c r="C66" s="16">
        <v>6992</v>
      </c>
      <c r="D66" s="16">
        <v>9699</v>
      </c>
      <c r="E66" s="16">
        <v>8072</v>
      </c>
      <c r="F66" s="16">
        <v>32236</v>
      </c>
      <c r="G66" s="68"/>
      <c r="H66" s="68"/>
    </row>
    <row r="67" spans="1:8" s="67" customFormat="1" x14ac:dyDescent="0.3">
      <c r="A67" s="15" t="s">
        <v>191</v>
      </c>
      <c r="B67" s="16">
        <v>4001</v>
      </c>
      <c r="C67" s="16">
        <v>3146</v>
      </c>
      <c r="D67" s="16">
        <v>4024</v>
      </c>
      <c r="E67" s="16">
        <v>4739</v>
      </c>
      <c r="F67" s="16">
        <v>15910</v>
      </c>
      <c r="G67" s="68"/>
      <c r="H67" s="68"/>
    </row>
    <row r="68" spans="1:8" s="67" customFormat="1" x14ac:dyDescent="0.3">
      <c r="A68" s="15" t="s">
        <v>218</v>
      </c>
      <c r="B68" s="16">
        <v>5184</v>
      </c>
      <c r="C68" s="16">
        <v>4795</v>
      </c>
      <c r="D68" s="16">
        <v>4315</v>
      </c>
      <c r="E68" s="16">
        <v>3541</v>
      </c>
      <c r="F68" s="16">
        <v>17835</v>
      </c>
      <c r="H68" s="68"/>
    </row>
    <row r="69" spans="1:8" s="67" customFormat="1" x14ac:dyDescent="0.3">
      <c r="A69" s="15" t="s">
        <v>193</v>
      </c>
      <c r="B69" s="16">
        <v>7206</v>
      </c>
      <c r="C69" s="16">
        <v>7447</v>
      </c>
      <c r="D69" s="16">
        <v>6609</v>
      </c>
      <c r="E69" s="16">
        <v>8058</v>
      </c>
      <c r="F69" s="16">
        <f>B69+C69+D69+E69</f>
        <v>29320</v>
      </c>
      <c r="G69" s="68"/>
      <c r="H69" s="68"/>
    </row>
    <row r="70" spans="1:8" s="67" customFormat="1" x14ac:dyDescent="0.3">
      <c r="A70" s="18" t="s">
        <v>28</v>
      </c>
      <c r="B70" s="20">
        <f>SUM(B65:B69)</f>
        <v>27414</v>
      </c>
      <c r="C70" s="20">
        <f>SUM(C65:C69)</f>
        <v>26660</v>
      </c>
      <c r="D70" s="20">
        <f>SUM(D65:D69)</f>
        <v>28321</v>
      </c>
      <c r="E70" s="20">
        <f>SUM(E65:E69)</f>
        <v>30240</v>
      </c>
      <c r="F70" s="20">
        <f>SUM(F65:F69)</f>
        <v>112635</v>
      </c>
      <c r="G70" s="68"/>
    </row>
    <row r="71" spans="1:8" s="67" customFormat="1" x14ac:dyDescent="0.3">
      <c r="A71" s="69"/>
      <c r="B71" s="41"/>
      <c r="C71" s="41"/>
      <c r="D71" s="41"/>
      <c r="E71" s="41"/>
      <c r="F71" s="41"/>
    </row>
    <row r="72" spans="1:8" s="67" customFormat="1" x14ac:dyDescent="0.3">
      <c r="A72" s="12" t="s">
        <v>168</v>
      </c>
      <c r="B72" s="13" t="s">
        <v>45</v>
      </c>
      <c r="C72" s="13" t="s">
        <v>46</v>
      </c>
      <c r="D72" s="13" t="s">
        <v>47</v>
      </c>
      <c r="E72" s="13" t="s">
        <v>48</v>
      </c>
      <c r="F72" s="13" t="s">
        <v>20</v>
      </c>
    </row>
    <row r="73" spans="1:8" s="67" customFormat="1" x14ac:dyDescent="0.3">
      <c r="A73" s="15" t="s">
        <v>189</v>
      </c>
      <c r="B73" s="16">
        <v>2383</v>
      </c>
      <c r="C73" s="16">
        <v>2643</v>
      </c>
      <c r="D73" s="16">
        <v>2889</v>
      </c>
      <c r="E73" s="16">
        <v>4314</v>
      </c>
      <c r="F73" s="16">
        <v>12229</v>
      </c>
      <c r="G73" s="68"/>
      <c r="H73" s="68"/>
    </row>
    <row r="74" spans="1:8" s="67" customFormat="1" x14ac:dyDescent="0.3">
      <c r="A74" s="15" t="s">
        <v>190</v>
      </c>
      <c r="B74" s="16">
        <v>1726</v>
      </c>
      <c r="C74" s="16">
        <v>1995</v>
      </c>
      <c r="D74" s="16">
        <v>2288</v>
      </c>
      <c r="E74" s="16">
        <v>2285</v>
      </c>
      <c r="F74" s="16">
        <v>8294</v>
      </c>
      <c r="G74" s="68"/>
      <c r="H74" s="68"/>
    </row>
    <row r="75" spans="1:8" s="67" customFormat="1" x14ac:dyDescent="0.3">
      <c r="A75" s="15" t="s">
        <v>191</v>
      </c>
      <c r="B75" s="16">
        <v>1726</v>
      </c>
      <c r="C75" s="16">
        <v>1362</v>
      </c>
      <c r="D75" s="16">
        <v>1655</v>
      </c>
      <c r="E75" s="16">
        <v>1418</v>
      </c>
      <c r="F75" s="16">
        <v>6161</v>
      </c>
      <c r="G75" s="68"/>
      <c r="H75" s="68"/>
    </row>
    <row r="76" spans="1:8" s="67" customFormat="1" x14ac:dyDescent="0.3">
      <c r="A76" s="15" t="s">
        <v>218</v>
      </c>
      <c r="B76" s="16">
        <v>4386</v>
      </c>
      <c r="C76" s="16">
        <v>2963</v>
      </c>
      <c r="D76" s="16">
        <v>2172</v>
      </c>
      <c r="E76" s="16">
        <v>1994</v>
      </c>
      <c r="F76" s="16">
        <v>11515</v>
      </c>
      <c r="H76" s="68"/>
    </row>
    <row r="77" spans="1:8" s="67" customFormat="1" x14ac:dyDescent="0.3">
      <c r="A77" s="15" t="s">
        <v>193</v>
      </c>
      <c r="B77" s="16">
        <v>1161</v>
      </c>
      <c r="C77" s="16">
        <v>1086</v>
      </c>
      <c r="D77" s="16">
        <v>1126</v>
      </c>
      <c r="E77" s="16">
        <v>1155</v>
      </c>
      <c r="F77" s="16">
        <f>B77+C77+D77+E77</f>
        <v>4528</v>
      </c>
      <c r="G77" s="68"/>
      <c r="H77" s="68"/>
    </row>
    <row r="78" spans="1:8" s="67" customFormat="1" x14ac:dyDescent="0.3">
      <c r="A78" s="18" t="s">
        <v>32</v>
      </c>
      <c r="B78" s="20">
        <f>SUM(B73:B77)</f>
        <v>11382</v>
      </c>
      <c r="C78" s="20">
        <f>SUM(C73:C77)</f>
        <v>10049</v>
      </c>
      <c r="D78" s="20">
        <f>SUM(D73:D77)</f>
        <v>10130</v>
      </c>
      <c r="E78" s="20">
        <f>SUM(E73:E77)</f>
        <v>11166</v>
      </c>
      <c r="F78" s="20">
        <f>SUM(F73:F77)</f>
        <v>42727</v>
      </c>
      <c r="G78" s="68"/>
    </row>
    <row r="79" spans="1:8" s="67" customFormat="1" x14ac:dyDescent="0.3">
      <c r="A79" s="69"/>
      <c r="B79" s="41"/>
      <c r="C79" s="41"/>
      <c r="D79" s="41"/>
      <c r="E79" s="41"/>
      <c r="F79" s="41"/>
    </row>
    <row r="80" spans="1:8" s="67" customFormat="1" x14ac:dyDescent="0.3">
      <c r="A80" s="12" t="s">
        <v>169</v>
      </c>
      <c r="B80" s="13" t="s">
        <v>45</v>
      </c>
      <c r="C80" s="13" t="s">
        <v>46</v>
      </c>
      <c r="D80" s="13" t="s">
        <v>47</v>
      </c>
      <c r="E80" s="13" t="s">
        <v>48</v>
      </c>
      <c r="F80" s="13" t="s">
        <v>20</v>
      </c>
    </row>
    <row r="81" spans="1:8" s="67" customFormat="1" x14ac:dyDescent="0.3">
      <c r="A81" s="15" t="s">
        <v>189</v>
      </c>
      <c r="B81" s="16">
        <v>3838</v>
      </c>
      <c r="C81" s="16">
        <v>3504</v>
      </c>
      <c r="D81" s="16">
        <v>2509</v>
      </c>
      <c r="E81" s="16">
        <v>1749</v>
      </c>
      <c r="F81" s="16">
        <v>11600</v>
      </c>
      <c r="G81" s="68"/>
      <c r="H81" s="68"/>
    </row>
    <row r="82" spans="1:8" s="67" customFormat="1" x14ac:dyDescent="0.3">
      <c r="A82" s="15" t="s">
        <v>190</v>
      </c>
      <c r="B82" s="16">
        <v>3446</v>
      </c>
      <c r="C82" s="16">
        <v>2696</v>
      </c>
      <c r="D82" s="16">
        <v>2601</v>
      </c>
      <c r="E82" s="16">
        <v>2065</v>
      </c>
      <c r="F82" s="16">
        <v>10808</v>
      </c>
      <c r="G82" s="68"/>
      <c r="H82" s="68"/>
    </row>
    <row r="83" spans="1:8" s="67" customFormat="1" x14ac:dyDescent="0.3">
      <c r="A83" s="15" t="s">
        <v>191</v>
      </c>
      <c r="B83" s="16">
        <v>1871</v>
      </c>
      <c r="C83" s="16">
        <v>1081</v>
      </c>
      <c r="D83" s="16">
        <v>1233</v>
      </c>
      <c r="E83" s="16">
        <v>882</v>
      </c>
      <c r="F83" s="16">
        <v>5067</v>
      </c>
      <c r="G83" s="68"/>
      <c r="H83" s="68"/>
    </row>
    <row r="84" spans="1:8" s="67" customFormat="1" x14ac:dyDescent="0.3">
      <c r="A84" s="15" t="s">
        <v>218</v>
      </c>
      <c r="B84" s="16">
        <v>5180</v>
      </c>
      <c r="C84" s="16">
        <v>6024</v>
      </c>
      <c r="D84" s="16">
        <v>4645</v>
      </c>
      <c r="E84" s="16">
        <v>1815</v>
      </c>
      <c r="F84" s="16">
        <v>17664</v>
      </c>
      <c r="H84" s="68"/>
    </row>
    <row r="85" spans="1:8" s="67" customFormat="1" x14ac:dyDescent="0.3">
      <c r="A85" s="15" t="s">
        <v>193</v>
      </c>
      <c r="B85" s="16">
        <v>989</v>
      </c>
      <c r="C85" s="16">
        <v>925</v>
      </c>
      <c r="D85" s="16">
        <v>626</v>
      </c>
      <c r="E85" s="16">
        <v>766</v>
      </c>
      <c r="F85" s="16">
        <f>B85+C85+D85+E85</f>
        <v>3306</v>
      </c>
      <c r="G85" s="68"/>
      <c r="H85" s="68"/>
    </row>
    <row r="86" spans="1:8" s="67" customFormat="1" x14ac:dyDescent="0.3">
      <c r="A86" s="18" t="s">
        <v>41</v>
      </c>
      <c r="B86" s="20">
        <f>SUM(B81:B85)</f>
        <v>15324</v>
      </c>
      <c r="C86" s="20">
        <f>SUM(C81:C85)</f>
        <v>14230</v>
      </c>
      <c r="D86" s="20">
        <f>SUM(D81:D85)</f>
        <v>11614</v>
      </c>
      <c r="E86" s="20">
        <f>SUM(E81:E85)</f>
        <v>7277</v>
      </c>
      <c r="F86" s="20">
        <f>SUM(F81:F85)</f>
        <v>48445</v>
      </c>
      <c r="G86" s="68"/>
    </row>
    <row r="87" spans="1:8" s="67" customFormat="1" x14ac:dyDescent="0.3">
      <c r="A87" s="69"/>
      <c r="B87" s="41"/>
      <c r="C87" s="41"/>
      <c r="D87" s="41"/>
      <c r="E87" s="41"/>
      <c r="F87" s="41"/>
    </row>
    <row r="88" spans="1:8" s="67" customFormat="1" x14ac:dyDescent="0.3">
      <c r="A88" s="12" t="s">
        <v>219</v>
      </c>
      <c r="B88" s="13" t="s">
        <v>45</v>
      </c>
      <c r="C88" s="13" t="s">
        <v>46</v>
      </c>
      <c r="D88" s="13" t="s">
        <v>47</v>
      </c>
      <c r="E88" s="13" t="s">
        <v>48</v>
      </c>
      <c r="F88" s="13" t="s">
        <v>20</v>
      </c>
    </row>
    <row r="89" spans="1:8" s="67" customFormat="1" x14ac:dyDescent="0.3">
      <c r="A89" s="15" t="s">
        <v>189</v>
      </c>
      <c r="B89" s="16">
        <v>19376</v>
      </c>
      <c r="C89" s="16">
        <v>21032</v>
      </c>
      <c r="D89" s="16">
        <v>16116</v>
      </c>
      <c r="E89" s="16">
        <v>24822</v>
      </c>
      <c r="F89" s="16">
        <v>81346</v>
      </c>
    </row>
    <row r="90" spans="1:8" s="67" customFormat="1" x14ac:dyDescent="0.3">
      <c r="A90" s="15" t="s">
        <v>190</v>
      </c>
      <c r="B90" s="16">
        <v>28145</v>
      </c>
      <c r="C90" s="16">
        <v>25432</v>
      </c>
      <c r="D90" s="16">
        <v>35730</v>
      </c>
      <c r="E90" s="16">
        <v>30972</v>
      </c>
      <c r="F90" s="16">
        <v>120279</v>
      </c>
    </row>
    <row r="91" spans="1:8" s="67" customFormat="1" x14ac:dyDescent="0.3">
      <c r="A91" s="15" t="s">
        <v>191</v>
      </c>
      <c r="B91" s="16">
        <v>20499</v>
      </c>
      <c r="C91" s="16">
        <v>16007</v>
      </c>
      <c r="D91" s="16">
        <v>17228</v>
      </c>
      <c r="E91" s="16">
        <v>17841</v>
      </c>
      <c r="F91" s="16">
        <v>71575</v>
      </c>
    </row>
    <row r="92" spans="1:8" s="67" customFormat="1" x14ac:dyDescent="0.3">
      <c r="A92" s="15" t="s">
        <v>218</v>
      </c>
      <c r="B92" s="16">
        <v>24499</v>
      </c>
      <c r="C92" s="16">
        <v>22785</v>
      </c>
      <c r="D92" s="16">
        <v>20832</v>
      </c>
      <c r="E92" s="16">
        <v>15544</v>
      </c>
      <c r="F92" s="16">
        <v>83660</v>
      </c>
    </row>
    <row r="93" spans="1:8" s="67" customFormat="1" x14ac:dyDescent="0.3">
      <c r="A93" s="15" t="s">
        <v>193</v>
      </c>
      <c r="B93" s="16">
        <f t="shared" ref="B93:F93" si="10">B61+B69+B77+B85</f>
        <v>18661</v>
      </c>
      <c r="C93" s="16">
        <f t="shared" si="10"/>
        <v>17852</v>
      </c>
      <c r="D93" s="16">
        <f t="shared" si="10"/>
        <v>16428</v>
      </c>
      <c r="E93" s="16">
        <f t="shared" si="10"/>
        <v>19053</v>
      </c>
      <c r="F93" s="16">
        <f t="shared" si="10"/>
        <v>71994</v>
      </c>
    </row>
    <row r="94" spans="1:8" s="67" customFormat="1" x14ac:dyDescent="0.3">
      <c r="A94" s="18" t="s">
        <v>196</v>
      </c>
      <c r="B94" s="70">
        <f>SUM(B89:B93)</f>
        <v>111180</v>
      </c>
      <c r="C94" s="70">
        <f t="shared" ref="C94:E94" si="11">SUM(C89:C93)</f>
        <v>103108</v>
      </c>
      <c r="D94" s="70">
        <f t="shared" si="11"/>
        <v>106334</v>
      </c>
      <c r="E94" s="70">
        <f t="shared" si="11"/>
        <v>108232</v>
      </c>
      <c r="F94" s="70">
        <f>SUM(F89:F93)</f>
        <v>428854</v>
      </c>
      <c r="G94" s="71"/>
    </row>
    <row r="95" spans="1:8" s="67" customFormat="1" x14ac:dyDescent="0.3">
      <c r="A95" s="73"/>
      <c r="B95" s="95"/>
      <c r="C95" s="95"/>
      <c r="D95" s="95"/>
      <c r="E95" s="95"/>
      <c r="F95" s="95"/>
      <c r="G95" s="96"/>
    </row>
    <row r="96" spans="1:8" s="67" customFormat="1" x14ac:dyDescent="0.3">
      <c r="A96" s="86" t="s">
        <v>199</v>
      </c>
      <c r="B96" s="97">
        <v>10503</v>
      </c>
      <c r="C96" s="97">
        <v>10507</v>
      </c>
      <c r="D96" s="97">
        <v>7956</v>
      </c>
      <c r="E96" s="97">
        <v>5190</v>
      </c>
      <c r="F96" s="97">
        <v>34156</v>
      </c>
      <c r="H96" s="68"/>
    </row>
    <row r="97" spans="1:8" s="67" customFormat="1" x14ac:dyDescent="0.3">
      <c r="A97" s="73"/>
      <c r="B97" s="95"/>
      <c r="C97" s="95"/>
      <c r="D97" s="95"/>
      <c r="E97" s="95"/>
      <c r="F97" s="95"/>
      <c r="H97" s="68"/>
    </row>
    <row r="98" spans="1:8" s="99" customFormat="1" ht="6" customHeight="1" x14ac:dyDescent="0.3">
      <c r="A98" s="75"/>
      <c r="B98" s="98"/>
      <c r="C98" s="98"/>
      <c r="D98" s="98"/>
      <c r="E98" s="98"/>
      <c r="F98" s="98"/>
    </row>
    <row r="99" spans="1:8" x14ac:dyDescent="0.3">
      <c r="A99" s="66"/>
      <c r="B99" s="52"/>
      <c r="C99" s="52"/>
      <c r="D99" s="52"/>
    </row>
    <row r="100" spans="1:8" s="67" customFormat="1" x14ac:dyDescent="0.3">
      <c r="A100" s="11" t="s">
        <v>49</v>
      </c>
      <c r="B100" s="41"/>
      <c r="C100" s="41"/>
      <c r="D100" s="41"/>
      <c r="E100" s="52"/>
      <c r="F100" s="52"/>
    </row>
    <row r="101" spans="1:8" s="67" customFormat="1" x14ac:dyDescent="0.3">
      <c r="A101" s="29"/>
      <c r="B101" s="41"/>
      <c r="C101" s="41"/>
      <c r="D101" s="41"/>
      <c r="E101" s="52"/>
      <c r="F101" s="52"/>
    </row>
    <row r="102" spans="1:8" s="67" customFormat="1" x14ac:dyDescent="0.3">
      <c r="A102" s="12" t="s">
        <v>169</v>
      </c>
      <c r="B102" s="13" t="s">
        <v>51</v>
      </c>
      <c r="C102" s="13" t="s">
        <v>52</v>
      </c>
      <c r="D102" s="13" t="s">
        <v>53</v>
      </c>
      <c r="E102" s="13" t="s">
        <v>54</v>
      </c>
      <c r="F102" s="13" t="s">
        <v>20</v>
      </c>
    </row>
    <row r="103" spans="1:8" s="67" customFormat="1" x14ac:dyDescent="0.3">
      <c r="A103" s="15" t="s">
        <v>189</v>
      </c>
      <c r="B103" s="16">
        <v>3451</v>
      </c>
      <c r="C103" s="16">
        <v>3367</v>
      </c>
      <c r="D103" s="16">
        <v>4039</v>
      </c>
      <c r="E103" s="16">
        <v>6744</v>
      </c>
      <c r="F103" s="16">
        <v>17601</v>
      </c>
      <c r="G103" s="68"/>
      <c r="H103" s="68"/>
    </row>
    <row r="104" spans="1:8" s="67" customFormat="1" x14ac:dyDescent="0.3">
      <c r="A104" s="15" t="s">
        <v>190</v>
      </c>
      <c r="B104" s="16">
        <v>2062</v>
      </c>
      <c r="C104" s="16">
        <v>2425</v>
      </c>
      <c r="D104" s="16">
        <v>2644</v>
      </c>
      <c r="E104" s="16">
        <v>3363</v>
      </c>
      <c r="F104" s="16">
        <v>10494</v>
      </c>
      <c r="G104" s="68"/>
      <c r="H104" s="68"/>
    </row>
    <row r="105" spans="1:8" s="67" customFormat="1" x14ac:dyDescent="0.3">
      <c r="A105" s="15" t="s">
        <v>191</v>
      </c>
      <c r="B105" s="16">
        <v>2885</v>
      </c>
      <c r="C105" s="16">
        <v>2855</v>
      </c>
      <c r="D105" s="16">
        <v>2454</v>
      </c>
      <c r="E105" s="16">
        <v>2004</v>
      </c>
      <c r="F105" s="16">
        <v>10198</v>
      </c>
      <c r="G105" s="68"/>
      <c r="H105" s="68"/>
    </row>
    <row r="106" spans="1:8" s="67" customFormat="1" x14ac:dyDescent="0.3">
      <c r="A106" s="15" t="s">
        <v>215</v>
      </c>
      <c r="B106" s="16">
        <v>6180</v>
      </c>
      <c r="C106" s="16">
        <v>6711</v>
      </c>
      <c r="D106" s="16">
        <v>6810</v>
      </c>
      <c r="E106" s="16">
        <v>4904</v>
      </c>
      <c r="F106" s="16">
        <v>24605</v>
      </c>
      <c r="H106" s="68"/>
    </row>
    <row r="107" spans="1:8" s="67" customFormat="1" x14ac:dyDescent="0.3">
      <c r="A107" s="15" t="s">
        <v>193</v>
      </c>
      <c r="B107" s="16">
        <v>889</v>
      </c>
      <c r="C107" s="16">
        <v>873</v>
      </c>
      <c r="D107" s="16">
        <v>1162</v>
      </c>
      <c r="E107" s="16">
        <v>1044</v>
      </c>
      <c r="F107" s="16">
        <v>3968</v>
      </c>
      <c r="G107" s="68"/>
      <c r="H107" s="68"/>
    </row>
    <row r="108" spans="1:8" s="67" customFormat="1" x14ac:dyDescent="0.3">
      <c r="A108" s="18" t="s">
        <v>41</v>
      </c>
      <c r="B108" s="20">
        <v>15467</v>
      </c>
      <c r="C108" s="20">
        <v>16231</v>
      </c>
      <c r="D108" s="20">
        <v>17109</v>
      </c>
      <c r="E108" s="20">
        <v>18059</v>
      </c>
      <c r="F108" s="20">
        <v>66866</v>
      </c>
      <c r="G108" s="68"/>
    </row>
    <row r="109" spans="1:8" s="67" customFormat="1" x14ac:dyDescent="0.3">
      <c r="A109" s="69"/>
      <c r="B109" s="41"/>
      <c r="C109" s="41"/>
      <c r="D109" s="41"/>
      <c r="E109" s="41"/>
      <c r="F109" s="41"/>
    </row>
    <row r="110" spans="1:8" s="67" customFormat="1" x14ac:dyDescent="0.3">
      <c r="A110" s="12" t="s">
        <v>172</v>
      </c>
      <c r="B110" s="13" t="s">
        <v>51</v>
      </c>
      <c r="C110" s="13" t="s">
        <v>52</v>
      </c>
      <c r="D110" s="13" t="s">
        <v>53</v>
      </c>
      <c r="E110" s="13" t="s">
        <v>54</v>
      </c>
      <c r="F110" s="13" t="s">
        <v>20</v>
      </c>
    </row>
    <row r="111" spans="1:8" s="67" customFormat="1" x14ac:dyDescent="0.3">
      <c r="A111" s="15" t="s">
        <v>189</v>
      </c>
      <c r="B111" s="16">
        <v>13479</v>
      </c>
      <c r="C111" s="16">
        <v>12977</v>
      </c>
      <c r="D111" s="16">
        <v>15103</v>
      </c>
      <c r="E111" s="16">
        <v>20560</v>
      </c>
      <c r="F111" s="16">
        <v>62119</v>
      </c>
      <c r="G111" s="68"/>
      <c r="H111" s="68"/>
    </row>
    <row r="112" spans="1:8" s="67" customFormat="1" x14ac:dyDescent="0.3">
      <c r="A112" s="15" t="s">
        <v>190</v>
      </c>
      <c r="B112" s="16">
        <v>17685</v>
      </c>
      <c r="C112" s="16">
        <v>20848</v>
      </c>
      <c r="D112" s="16">
        <v>22343</v>
      </c>
      <c r="E112" s="16">
        <v>23624</v>
      </c>
      <c r="F112" s="16">
        <v>84500</v>
      </c>
      <c r="G112" s="68"/>
      <c r="H112" s="68"/>
    </row>
    <row r="113" spans="1:8" s="67" customFormat="1" x14ac:dyDescent="0.3">
      <c r="A113" s="15" t="s">
        <v>191</v>
      </c>
      <c r="B113" s="16">
        <v>16779</v>
      </c>
      <c r="C113" s="16">
        <v>17701</v>
      </c>
      <c r="D113" s="16">
        <v>16702</v>
      </c>
      <c r="E113" s="16">
        <v>16873</v>
      </c>
      <c r="F113" s="16">
        <v>68055</v>
      </c>
      <c r="G113" s="68"/>
      <c r="H113" s="68"/>
    </row>
    <row r="114" spans="1:8" s="67" customFormat="1" x14ac:dyDescent="0.3">
      <c r="A114" s="15" t="s">
        <v>215</v>
      </c>
      <c r="B114" s="16">
        <v>19796</v>
      </c>
      <c r="C114" s="16">
        <v>20604</v>
      </c>
      <c r="D114" s="16">
        <v>21023</v>
      </c>
      <c r="E114" s="16">
        <v>18095</v>
      </c>
      <c r="F114" s="16">
        <v>79518</v>
      </c>
      <c r="G114" s="68"/>
      <c r="H114" s="68"/>
    </row>
    <row r="115" spans="1:8" s="67" customFormat="1" x14ac:dyDescent="0.3">
      <c r="A115" s="15" t="s">
        <v>193</v>
      </c>
      <c r="B115" s="16">
        <v>18788</v>
      </c>
      <c r="C115" s="16">
        <v>18200</v>
      </c>
      <c r="D115" s="16">
        <v>16860</v>
      </c>
      <c r="E115" s="16">
        <v>16827</v>
      </c>
      <c r="F115" s="16">
        <v>70675</v>
      </c>
      <c r="G115" s="68"/>
      <c r="H115" s="68"/>
    </row>
    <row r="116" spans="1:8" s="67" customFormat="1" x14ac:dyDescent="0.3">
      <c r="A116" s="18" t="s">
        <v>65</v>
      </c>
      <c r="B116" s="20">
        <v>86527</v>
      </c>
      <c r="C116" s="20">
        <v>90330</v>
      </c>
      <c r="D116" s="20">
        <v>92031</v>
      </c>
      <c r="E116" s="20">
        <v>95979</v>
      </c>
      <c r="F116" s="20">
        <v>364867</v>
      </c>
    </row>
    <row r="117" spans="1:8" s="67" customFormat="1" x14ac:dyDescent="0.3">
      <c r="A117" s="69"/>
      <c r="B117" s="41"/>
      <c r="C117" s="41"/>
      <c r="D117" s="41"/>
      <c r="E117" s="41"/>
      <c r="F117" s="41"/>
    </row>
    <row r="118" spans="1:8" s="67" customFormat="1" x14ac:dyDescent="0.3">
      <c r="A118" s="12" t="s">
        <v>219</v>
      </c>
      <c r="B118" s="13" t="s">
        <v>51</v>
      </c>
      <c r="C118" s="13" t="s">
        <v>52</v>
      </c>
      <c r="D118" s="13" t="s">
        <v>53</v>
      </c>
      <c r="E118" s="13" t="s">
        <v>54</v>
      </c>
      <c r="F118" s="13" t="s">
        <v>20</v>
      </c>
    </row>
    <row r="119" spans="1:8" s="67" customFormat="1" x14ac:dyDescent="0.3">
      <c r="A119" s="15" t="s">
        <v>189</v>
      </c>
      <c r="B119" s="79">
        <v>16930</v>
      </c>
      <c r="C119" s="79">
        <v>16344</v>
      </c>
      <c r="D119" s="79">
        <v>19142</v>
      </c>
      <c r="E119" s="79">
        <v>27304</v>
      </c>
      <c r="F119" s="79">
        <v>79720</v>
      </c>
    </row>
    <row r="120" spans="1:8" s="67" customFormat="1" x14ac:dyDescent="0.3">
      <c r="A120" s="15" t="s">
        <v>190</v>
      </c>
      <c r="B120" s="79">
        <v>19747</v>
      </c>
      <c r="C120" s="79">
        <v>23273</v>
      </c>
      <c r="D120" s="79">
        <v>24987</v>
      </c>
      <c r="E120" s="79">
        <v>26987</v>
      </c>
      <c r="F120" s="79">
        <v>94994</v>
      </c>
    </row>
    <row r="121" spans="1:8" s="67" customFormat="1" x14ac:dyDescent="0.3">
      <c r="A121" s="15" t="s">
        <v>191</v>
      </c>
      <c r="B121" s="79">
        <v>19664</v>
      </c>
      <c r="C121" s="79">
        <v>20556</v>
      </c>
      <c r="D121" s="79">
        <v>19156</v>
      </c>
      <c r="E121" s="79">
        <v>18877</v>
      </c>
      <c r="F121" s="79">
        <v>78253</v>
      </c>
    </row>
    <row r="122" spans="1:8" s="67" customFormat="1" x14ac:dyDescent="0.3">
      <c r="A122" s="15" t="s">
        <v>215</v>
      </c>
      <c r="B122" s="79">
        <v>25976</v>
      </c>
      <c r="C122" s="79">
        <v>27315</v>
      </c>
      <c r="D122" s="79">
        <v>27833</v>
      </c>
      <c r="E122" s="79">
        <v>22999</v>
      </c>
      <c r="F122" s="79">
        <v>104123</v>
      </c>
    </row>
    <row r="123" spans="1:8" s="67" customFormat="1" x14ac:dyDescent="0.3">
      <c r="A123" s="15" t="s">
        <v>193</v>
      </c>
      <c r="B123" s="79">
        <v>19677</v>
      </c>
      <c r="C123" s="79">
        <v>19073</v>
      </c>
      <c r="D123" s="79">
        <v>18022</v>
      </c>
      <c r="E123" s="79">
        <v>17871</v>
      </c>
      <c r="F123" s="79">
        <v>74643</v>
      </c>
    </row>
    <row r="124" spans="1:8" s="67" customFormat="1" x14ac:dyDescent="0.3">
      <c r="A124" s="18" t="s">
        <v>196</v>
      </c>
      <c r="B124" s="70">
        <v>101994</v>
      </c>
      <c r="C124" s="70">
        <v>106561</v>
      </c>
      <c r="D124" s="70">
        <v>109140</v>
      </c>
      <c r="E124" s="70">
        <v>114038</v>
      </c>
      <c r="F124" s="70">
        <v>431733</v>
      </c>
      <c r="G124" s="71"/>
    </row>
    <row r="125" spans="1:8" s="67" customFormat="1" x14ac:dyDescent="0.3">
      <c r="A125" s="73"/>
      <c r="B125" s="95"/>
      <c r="C125" s="95"/>
      <c r="D125" s="95"/>
      <c r="E125" s="95"/>
      <c r="F125" s="95"/>
      <c r="G125" s="96"/>
    </row>
    <row r="126" spans="1:8" s="67" customFormat="1" x14ac:dyDescent="0.3">
      <c r="A126" s="86" t="s">
        <v>199</v>
      </c>
      <c r="B126" s="97">
        <v>10503</v>
      </c>
      <c r="C126" s="97"/>
      <c r="D126" s="97"/>
      <c r="E126" s="97"/>
      <c r="F126" s="97">
        <v>0</v>
      </c>
      <c r="H126" s="68"/>
    </row>
    <row r="127" spans="1:8" s="67" customFormat="1" x14ac:dyDescent="0.3">
      <c r="A127" s="73"/>
      <c r="B127" s="95"/>
      <c r="C127" s="95"/>
      <c r="D127" s="95"/>
      <c r="E127" s="95"/>
      <c r="F127" s="95"/>
      <c r="H127" s="68"/>
    </row>
    <row r="128" spans="1:8" s="99" customFormat="1" ht="6" customHeight="1" x14ac:dyDescent="0.3">
      <c r="A128" s="75"/>
      <c r="B128" s="98"/>
      <c r="C128" s="98"/>
      <c r="D128" s="98"/>
      <c r="E128" s="98"/>
      <c r="F128" s="98"/>
    </row>
    <row r="130" spans="1:8" x14ac:dyDescent="0.3">
      <c r="A130" s="9" t="s">
        <v>217</v>
      </c>
      <c r="B130" s="52"/>
      <c r="C130" s="52"/>
      <c r="D130" s="52"/>
    </row>
    <row r="131" spans="1:8" x14ac:dyDescent="0.3">
      <c r="A131" s="66"/>
      <c r="B131" s="52"/>
      <c r="C131" s="52"/>
      <c r="D131" s="52"/>
    </row>
    <row r="132" spans="1:8" s="67" customFormat="1" x14ac:dyDescent="0.3">
      <c r="A132" s="11" t="s">
        <v>66</v>
      </c>
      <c r="B132" s="41"/>
      <c r="C132" s="41"/>
      <c r="D132" s="41"/>
      <c r="E132" s="52"/>
      <c r="F132" s="52"/>
    </row>
    <row r="133" spans="1:8" s="67" customFormat="1" x14ac:dyDescent="0.3">
      <c r="A133" s="29"/>
      <c r="B133" s="41"/>
      <c r="C133" s="41"/>
      <c r="D133" s="41"/>
      <c r="E133" s="52"/>
      <c r="F133" s="52"/>
    </row>
    <row r="134" spans="1:8" s="67" customFormat="1" x14ac:dyDescent="0.3">
      <c r="A134" s="12" t="s">
        <v>169</v>
      </c>
      <c r="B134" s="13" t="s">
        <v>67</v>
      </c>
      <c r="C134" s="13" t="s">
        <v>68</v>
      </c>
      <c r="D134" s="13" t="s">
        <v>69</v>
      </c>
      <c r="E134" s="13" t="s">
        <v>70</v>
      </c>
      <c r="F134" s="13" t="s">
        <v>20</v>
      </c>
    </row>
    <row r="135" spans="1:8" s="67" customFormat="1" x14ac:dyDescent="0.3">
      <c r="A135" s="15" t="s">
        <v>189</v>
      </c>
      <c r="B135" s="16">
        <v>3375</v>
      </c>
      <c r="C135" s="16">
        <v>3433</v>
      </c>
      <c r="D135" s="16">
        <v>2012</v>
      </c>
      <c r="E135" s="16">
        <v>3256</v>
      </c>
      <c r="F135" s="16">
        <f>B135+C135+D135+E135</f>
        <v>12076</v>
      </c>
      <c r="G135" s="68"/>
      <c r="H135" s="68"/>
    </row>
    <row r="136" spans="1:8" s="67" customFormat="1" x14ac:dyDescent="0.3">
      <c r="A136" s="15" t="s">
        <v>190</v>
      </c>
      <c r="B136" s="16">
        <v>2047</v>
      </c>
      <c r="C136" s="16">
        <v>3019</v>
      </c>
      <c r="D136" s="16">
        <v>2866</v>
      </c>
      <c r="E136" s="16">
        <v>2823</v>
      </c>
      <c r="F136" s="16">
        <f>B136+C136+D136+E136</f>
        <v>10755</v>
      </c>
      <c r="G136" s="68"/>
      <c r="H136" s="68"/>
    </row>
    <row r="137" spans="1:8" s="67" customFormat="1" x14ac:dyDescent="0.3">
      <c r="A137" s="15" t="s">
        <v>191</v>
      </c>
      <c r="B137" s="16">
        <v>3844</v>
      </c>
      <c r="C137" s="16">
        <v>3388</v>
      </c>
      <c r="D137" s="16">
        <v>2671</v>
      </c>
      <c r="E137" s="16">
        <v>2929</v>
      </c>
      <c r="F137" s="16">
        <f>B137+C137+D137+E137</f>
        <v>12832</v>
      </c>
      <c r="G137" s="68"/>
      <c r="H137" s="68"/>
    </row>
    <row r="138" spans="1:8" s="67" customFormat="1" x14ac:dyDescent="0.3">
      <c r="A138" s="15" t="s">
        <v>215</v>
      </c>
      <c r="B138" s="16">
        <v>4823</v>
      </c>
      <c r="C138" s="16">
        <v>6301</v>
      </c>
      <c r="D138" s="16">
        <v>5782</v>
      </c>
      <c r="E138" s="16">
        <v>5464</v>
      </c>
      <c r="F138" s="16">
        <f>B138+C138+D138+E138</f>
        <v>22370</v>
      </c>
      <c r="H138" s="68"/>
    </row>
    <row r="139" spans="1:8" s="67" customFormat="1" x14ac:dyDescent="0.3">
      <c r="A139" s="15" t="s">
        <v>193</v>
      </c>
      <c r="B139" s="16">
        <v>1118</v>
      </c>
      <c r="C139" s="16">
        <v>1199</v>
      </c>
      <c r="D139" s="16">
        <v>1209</v>
      </c>
      <c r="E139" s="16">
        <v>962</v>
      </c>
      <c r="F139" s="16">
        <f>B139+C139+D139+E139</f>
        <v>4488</v>
      </c>
      <c r="G139" s="68"/>
      <c r="H139" s="68"/>
    </row>
    <row r="140" spans="1:8" s="67" customFormat="1" x14ac:dyDescent="0.3">
      <c r="A140" s="18" t="s">
        <v>41</v>
      </c>
      <c r="B140" s="20">
        <f>SUM(B135:B139)</f>
        <v>15207</v>
      </c>
      <c r="C140" s="20">
        <f>SUM(C135:C139)</f>
        <v>17340</v>
      </c>
      <c r="D140" s="20">
        <f>SUM(D135:D139)</f>
        <v>14540</v>
      </c>
      <c r="E140" s="20">
        <f>SUM(E135:E139)</f>
        <v>15434</v>
      </c>
      <c r="F140" s="20">
        <f>SUM(F135:F139)</f>
        <v>62521</v>
      </c>
      <c r="G140" s="68"/>
    </row>
    <row r="141" spans="1:8" s="67" customFormat="1" x14ac:dyDescent="0.3">
      <c r="A141" s="69"/>
      <c r="B141" s="41"/>
      <c r="C141" s="41"/>
      <c r="D141" s="41"/>
      <c r="E141" s="41"/>
      <c r="F141" s="41"/>
    </row>
    <row r="142" spans="1:8" s="67" customFormat="1" x14ac:dyDescent="0.3">
      <c r="A142" s="12" t="s">
        <v>172</v>
      </c>
      <c r="B142" s="13" t="str">
        <f>B134</f>
        <v>Q1 FY 23</v>
      </c>
      <c r="C142" s="13" t="str">
        <f>C134</f>
        <v>Q2 FY 23</v>
      </c>
      <c r="D142" s="13" t="str">
        <f>D134</f>
        <v>Q3 FY 23</v>
      </c>
      <c r="E142" s="13" t="str">
        <f>E134</f>
        <v>Q4 FY 23</v>
      </c>
      <c r="F142" s="13" t="str">
        <f>F134</f>
        <v>YTD</v>
      </c>
    </row>
    <row r="143" spans="1:8" s="67" customFormat="1" x14ac:dyDescent="0.3">
      <c r="A143" s="15" t="s">
        <v>189</v>
      </c>
      <c r="B143" s="16">
        <v>12654</v>
      </c>
      <c r="C143" s="16">
        <v>11551</v>
      </c>
      <c r="D143" s="16">
        <v>10361</v>
      </c>
      <c r="E143" s="16">
        <v>17369</v>
      </c>
      <c r="F143" s="16">
        <f>B143+C143+D143+E143</f>
        <v>51935</v>
      </c>
      <c r="G143" s="68"/>
      <c r="H143" s="68"/>
    </row>
    <row r="144" spans="1:8" s="67" customFormat="1" x14ac:dyDescent="0.3">
      <c r="A144" s="15" t="s">
        <v>190</v>
      </c>
      <c r="B144" s="16">
        <v>11889</v>
      </c>
      <c r="C144" s="16">
        <v>14676</v>
      </c>
      <c r="D144" s="16">
        <v>20776</v>
      </c>
      <c r="E144" s="16">
        <v>19430</v>
      </c>
      <c r="F144" s="16">
        <f>B144+C144+D144+E144</f>
        <v>66771</v>
      </c>
      <c r="G144" s="68"/>
      <c r="H144" s="68"/>
    </row>
    <row r="145" spans="1:8" s="67" customFormat="1" x14ac:dyDescent="0.3">
      <c r="A145" s="15" t="s">
        <v>191</v>
      </c>
      <c r="B145" s="16">
        <v>15787</v>
      </c>
      <c r="C145" s="16">
        <v>14309</v>
      </c>
      <c r="D145" s="16">
        <v>12358</v>
      </c>
      <c r="E145" s="16">
        <v>16420</v>
      </c>
      <c r="F145" s="16">
        <f>B145+C145+D145+E145</f>
        <v>58874</v>
      </c>
      <c r="G145" s="68"/>
      <c r="H145" s="68"/>
    </row>
    <row r="146" spans="1:8" s="67" customFormat="1" x14ac:dyDescent="0.3">
      <c r="A146" s="15" t="s">
        <v>215</v>
      </c>
      <c r="B146" s="16">
        <v>13677</v>
      </c>
      <c r="C146" s="16">
        <v>19217</v>
      </c>
      <c r="D146" s="16">
        <v>15945</v>
      </c>
      <c r="E146" s="16">
        <v>19789</v>
      </c>
      <c r="F146" s="16">
        <f>B146+C146+D146+E146</f>
        <v>68628</v>
      </c>
      <c r="G146" s="68"/>
      <c r="H146" s="68"/>
    </row>
    <row r="147" spans="1:8" s="67" customFormat="1" x14ac:dyDescent="0.3">
      <c r="A147" s="15" t="s">
        <v>193</v>
      </c>
      <c r="B147" s="16">
        <v>9611</v>
      </c>
      <c r="C147" s="16">
        <v>11028</v>
      </c>
      <c r="D147" s="16">
        <v>10847</v>
      </c>
      <c r="E147" s="16">
        <v>14447</v>
      </c>
      <c r="F147" s="16">
        <f>B147+C147+D147+E147</f>
        <v>45933</v>
      </c>
      <c r="G147" s="68"/>
      <c r="H147" s="68"/>
    </row>
    <row r="148" spans="1:8" s="67" customFormat="1" x14ac:dyDescent="0.3">
      <c r="A148" s="18" t="s">
        <v>65</v>
      </c>
      <c r="B148" s="20">
        <f>SUM(B143:B147)</f>
        <v>63618</v>
      </c>
      <c r="C148" s="20">
        <f>SUM(C143:C147)</f>
        <v>70781</v>
      </c>
      <c r="D148" s="20">
        <f>SUM(D143:D147)</f>
        <v>70287</v>
      </c>
      <c r="E148" s="20">
        <f>SUM(E143:E147)</f>
        <v>87455</v>
      </c>
      <c r="F148" s="20">
        <f>SUM(F143:F147)</f>
        <v>292141</v>
      </c>
    </row>
    <row r="149" spans="1:8" s="67" customFormat="1" x14ac:dyDescent="0.3">
      <c r="A149" s="69"/>
      <c r="B149" s="41"/>
      <c r="C149" s="41"/>
      <c r="D149" s="41"/>
      <c r="E149" s="41"/>
      <c r="F149" s="41"/>
    </row>
    <row r="150" spans="1:8" s="67" customFormat="1" x14ac:dyDescent="0.3">
      <c r="A150" s="12" t="s">
        <v>219</v>
      </c>
      <c r="B150" s="13" t="str">
        <f>B142</f>
        <v>Q1 FY 23</v>
      </c>
      <c r="C150" s="13" t="str">
        <f>C142</f>
        <v>Q2 FY 23</v>
      </c>
      <c r="D150" s="13" t="str">
        <f>D142</f>
        <v>Q3 FY 23</v>
      </c>
      <c r="E150" s="13" t="str">
        <f>E142</f>
        <v>Q4 FY 23</v>
      </c>
      <c r="F150" s="13" t="str">
        <f>F142</f>
        <v>YTD</v>
      </c>
    </row>
    <row r="151" spans="1:8" s="67" customFormat="1" x14ac:dyDescent="0.3">
      <c r="A151" s="15" t="s">
        <v>189</v>
      </c>
      <c r="B151" s="79">
        <f>B135+B143</f>
        <v>16029</v>
      </c>
      <c r="C151" s="79">
        <f t="shared" ref="B151:F156" si="12">C135+C143</f>
        <v>14984</v>
      </c>
      <c r="D151" s="79">
        <v>12373</v>
      </c>
      <c r="E151" s="79">
        <f t="shared" si="12"/>
        <v>20625</v>
      </c>
      <c r="F151" s="79">
        <f t="shared" si="12"/>
        <v>64011</v>
      </c>
    </row>
    <row r="152" spans="1:8" s="67" customFormat="1" x14ac:dyDescent="0.3">
      <c r="A152" s="15" t="s">
        <v>190</v>
      </c>
      <c r="B152" s="79">
        <f>B136+B144</f>
        <v>13936</v>
      </c>
      <c r="C152" s="79">
        <f t="shared" si="12"/>
        <v>17695</v>
      </c>
      <c r="D152" s="79">
        <v>23642</v>
      </c>
      <c r="E152" s="79">
        <f t="shared" si="12"/>
        <v>22253</v>
      </c>
      <c r="F152" s="79">
        <f t="shared" si="12"/>
        <v>77526</v>
      </c>
    </row>
    <row r="153" spans="1:8" s="67" customFormat="1" x14ac:dyDescent="0.3">
      <c r="A153" s="15" t="s">
        <v>191</v>
      </c>
      <c r="B153" s="79">
        <f>B137+B145</f>
        <v>19631</v>
      </c>
      <c r="C153" s="79">
        <f t="shared" si="12"/>
        <v>17697</v>
      </c>
      <c r="D153" s="79">
        <v>15029</v>
      </c>
      <c r="E153" s="79">
        <f t="shared" si="12"/>
        <v>19349</v>
      </c>
      <c r="F153" s="79">
        <f t="shared" si="12"/>
        <v>71706</v>
      </c>
    </row>
    <row r="154" spans="1:8" s="67" customFormat="1" x14ac:dyDescent="0.3">
      <c r="A154" s="15" t="s">
        <v>215</v>
      </c>
      <c r="B154" s="79">
        <f>B138+B146</f>
        <v>18500</v>
      </c>
      <c r="C154" s="79">
        <f t="shared" si="12"/>
        <v>25518</v>
      </c>
      <c r="D154" s="79">
        <v>21727</v>
      </c>
      <c r="E154" s="79">
        <f t="shared" si="12"/>
        <v>25253</v>
      </c>
      <c r="F154" s="79">
        <f t="shared" si="12"/>
        <v>90998</v>
      </c>
    </row>
    <row r="155" spans="1:8" s="67" customFormat="1" x14ac:dyDescent="0.3">
      <c r="A155" s="15" t="s">
        <v>193</v>
      </c>
      <c r="B155" s="79">
        <f>B139+B147</f>
        <v>10729</v>
      </c>
      <c r="C155" s="79">
        <f t="shared" si="12"/>
        <v>12227</v>
      </c>
      <c r="D155" s="79">
        <v>12056</v>
      </c>
      <c r="E155" s="79">
        <f t="shared" si="12"/>
        <v>15409</v>
      </c>
      <c r="F155" s="79">
        <f t="shared" si="12"/>
        <v>50421</v>
      </c>
    </row>
    <row r="156" spans="1:8" s="67" customFormat="1" x14ac:dyDescent="0.3">
      <c r="A156" s="18" t="s">
        <v>196</v>
      </c>
      <c r="B156" s="70">
        <f t="shared" si="12"/>
        <v>78825</v>
      </c>
      <c r="C156" s="70">
        <f t="shared" si="12"/>
        <v>88121</v>
      </c>
      <c r="D156" s="70">
        <f t="shared" si="12"/>
        <v>84827</v>
      </c>
      <c r="E156" s="70">
        <f t="shared" si="12"/>
        <v>102889</v>
      </c>
      <c r="F156" s="70">
        <f t="shared" si="12"/>
        <v>354662</v>
      </c>
      <c r="G156" s="71"/>
    </row>
    <row r="157" spans="1:8" s="67" customFormat="1" x14ac:dyDescent="0.3">
      <c r="A157" s="73"/>
      <c r="B157" s="95"/>
      <c r="C157" s="95"/>
      <c r="D157" s="95"/>
      <c r="E157" s="95"/>
      <c r="F157" s="95"/>
      <c r="G157" s="96"/>
    </row>
    <row r="158" spans="1:8" s="67" customFormat="1" x14ac:dyDescent="0.3">
      <c r="A158" s="86" t="s">
        <v>199</v>
      </c>
      <c r="B158" s="97">
        <f>4631+6370</f>
        <v>11001</v>
      </c>
      <c r="C158" s="97">
        <v>15211</v>
      </c>
      <c r="D158" s="97">
        <v>12025</v>
      </c>
      <c r="E158" s="97">
        <v>12667</v>
      </c>
      <c r="F158" s="97">
        <f>SUM(B158:E158)</f>
        <v>50904</v>
      </c>
      <c r="H158" s="68"/>
    </row>
    <row r="159" spans="1:8" s="67" customFormat="1" x14ac:dyDescent="0.3">
      <c r="A159" s="73"/>
      <c r="B159" s="95"/>
      <c r="C159" s="95"/>
      <c r="D159" s="95"/>
      <c r="E159" s="95"/>
      <c r="F159" s="95"/>
      <c r="H159" s="68"/>
    </row>
    <row r="160" spans="1:8" s="99" customFormat="1" ht="6" customHeight="1" x14ac:dyDescent="0.3">
      <c r="A160" s="75"/>
      <c r="B160" s="98"/>
      <c r="C160" s="98"/>
      <c r="D160" s="98"/>
      <c r="E160" s="98"/>
      <c r="F160" s="98"/>
    </row>
    <row r="161" spans="1:8" s="67" customFormat="1" ht="6" customHeight="1" x14ac:dyDescent="0.3">
      <c r="A161" s="73"/>
      <c r="B161" s="95"/>
      <c r="C161" s="95"/>
      <c r="D161" s="95"/>
      <c r="E161" s="95"/>
      <c r="F161" s="95"/>
    </row>
    <row r="162" spans="1:8" x14ac:dyDescent="0.3">
      <c r="A162" s="9" t="s">
        <v>217</v>
      </c>
      <c r="B162" s="52"/>
      <c r="C162" s="52"/>
      <c r="D162" s="52"/>
    </row>
    <row r="163" spans="1:8" x14ac:dyDescent="0.3">
      <c r="A163" s="66"/>
      <c r="B163" s="52"/>
      <c r="C163" s="52"/>
      <c r="D163" s="52"/>
    </row>
    <row r="164" spans="1:8" s="67" customFormat="1" x14ac:dyDescent="0.3">
      <c r="A164" s="11" t="s">
        <v>79</v>
      </c>
      <c r="B164"/>
      <c r="C164"/>
      <c r="D164"/>
      <c r="E164"/>
      <c r="F164"/>
    </row>
    <row r="165" spans="1:8" s="67" customFormat="1" x14ac:dyDescent="0.3">
      <c r="A165" s="21"/>
      <c r="B165"/>
      <c r="C165"/>
      <c r="D165"/>
      <c r="E165"/>
      <c r="F165"/>
    </row>
    <row r="166" spans="1:8" s="67" customFormat="1" x14ac:dyDescent="0.3">
      <c r="A166" s="12" t="s">
        <v>169</v>
      </c>
      <c r="B166" s="13" t="s">
        <v>80</v>
      </c>
      <c r="C166" s="13" t="s">
        <v>81</v>
      </c>
      <c r="D166" s="13" t="s">
        <v>82</v>
      </c>
      <c r="E166" s="13" t="s">
        <v>83</v>
      </c>
      <c r="F166" s="13" t="s">
        <v>20</v>
      </c>
    </row>
    <row r="167" spans="1:8" s="67" customFormat="1" x14ac:dyDescent="0.3">
      <c r="A167" s="15" t="s">
        <v>189</v>
      </c>
      <c r="B167" s="16">
        <v>6718</v>
      </c>
      <c r="C167" s="16">
        <v>3711</v>
      </c>
      <c r="D167" s="16">
        <v>3277</v>
      </c>
      <c r="E167" s="16">
        <v>3310</v>
      </c>
      <c r="F167" s="16">
        <f>B167+C167+D167+E167</f>
        <v>17016</v>
      </c>
      <c r="G167" s="68"/>
      <c r="H167" s="68"/>
    </row>
    <row r="168" spans="1:8" s="67" customFormat="1" x14ac:dyDescent="0.3">
      <c r="A168" s="15" t="s">
        <v>190</v>
      </c>
      <c r="B168" s="16">
        <v>6179</v>
      </c>
      <c r="C168" s="16">
        <v>3138</v>
      </c>
      <c r="D168" s="16">
        <v>1599</v>
      </c>
      <c r="E168" s="16">
        <v>2869</v>
      </c>
      <c r="F168" s="16">
        <f>B168+C168+D168+E168</f>
        <v>13785</v>
      </c>
      <c r="G168" s="68"/>
      <c r="H168" s="68"/>
    </row>
    <row r="169" spans="1:8" s="67" customFormat="1" x14ac:dyDescent="0.3">
      <c r="A169" s="15" t="s">
        <v>191</v>
      </c>
      <c r="B169" s="16">
        <v>7229</v>
      </c>
      <c r="C169" s="16">
        <v>3944</v>
      </c>
      <c r="D169" s="16">
        <v>3369</v>
      </c>
      <c r="E169" s="16">
        <v>3299</v>
      </c>
      <c r="F169" s="16">
        <f>B169+C169+D169+E169</f>
        <v>17841</v>
      </c>
      <c r="G169" s="68"/>
      <c r="H169" s="68"/>
    </row>
    <row r="170" spans="1:8" s="67" customFormat="1" x14ac:dyDescent="0.3">
      <c r="A170" s="15" t="s">
        <v>215</v>
      </c>
      <c r="B170" s="16">
        <v>6603</v>
      </c>
      <c r="C170" s="16">
        <v>6509</v>
      </c>
      <c r="D170" s="16">
        <v>5118</v>
      </c>
      <c r="E170" s="16">
        <v>3628</v>
      </c>
      <c r="F170" s="16">
        <f>B170+C170+D170+E170</f>
        <v>21858</v>
      </c>
      <c r="H170" s="68"/>
    </row>
    <row r="171" spans="1:8" s="67" customFormat="1" x14ac:dyDescent="0.3">
      <c r="A171" s="15" t="s">
        <v>193</v>
      </c>
      <c r="B171" s="16">
        <v>2423</v>
      </c>
      <c r="C171" s="16">
        <v>1946</v>
      </c>
      <c r="D171" s="16">
        <v>1044</v>
      </c>
      <c r="E171" s="16">
        <v>1468</v>
      </c>
      <c r="F171" s="16">
        <f>B171+C171+D171+E171</f>
        <v>6881</v>
      </c>
      <c r="G171" s="68"/>
      <c r="H171" s="68"/>
    </row>
    <row r="172" spans="1:8" s="67" customFormat="1" x14ac:dyDescent="0.3">
      <c r="A172" s="18" t="s">
        <v>41</v>
      </c>
      <c r="B172" s="20">
        <f>SUM(B167:B171)</f>
        <v>29152</v>
      </c>
      <c r="C172" s="20">
        <f>SUM(C167:C171)</f>
        <v>19248</v>
      </c>
      <c r="D172" s="20">
        <f>SUM(D167:D171)</f>
        <v>14407</v>
      </c>
      <c r="E172" s="20">
        <f>SUM(E167:E171)</f>
        <v>14574</v>
      </c>
      <c r="F172" s="20">
        <f>SUM(F167:F171)</f>
        <v>77381</v>
      </c>
      <c r="G172" s="68"/>
    </row>
    <row r="173" spans="1:8" s="67" customFormat="1" x14ac:dyDescent="0.3">
      <c r="A173" s="69"/>
      <c r="B173" s="41"/>
      <c r="C173" s="41"/>
      <c r="D173" s="41"/>
      <c r="E173" s="41"/>
      <c r="F173" s="41"/>
    </row>
    <row r="174" spans="1:8" s="67" customFormat="1" x14ac:dyDescent="0.3">
      <c r="A174" s="12" t="s">
        <v>172</v>
      </c>
      <c r="B174" s="13" t="str">
        <f>B166</f>
        <v>Q1 FY 22</v>
      </c>
      <c r="C174" s="13" t="str">
        <f>C166</f>
        <v>Q2 FY 22</v>
      </c>
      <c r="D174" s="13" t="str">
        <f>D166</f>
        <v>Q3 FY 22</v>
      </c>
      <c r="E174" s="13" t="str">
        <f>E166</f>
        <v>Q4 FY 22</v>
      </c>
      <c r="F174" s="13" t="str">
        <f>F166</f>
        <v>YTD</v>
      </c>
    </row>
    <row r="175" spans="1:8" s="67" customFormat="1" x14ac:dyDescent="0.3">
      <c r="A175" s="15" t="s">
        <v>189</v>
      </c>
      <c r="B175" s="16">
        <v>16961</v>
      </c>
      <c r="C175" s="16">
        <v>10627</v>
      </c>
      <c r="D175" s="16">
        <v>7570</v>
      </c>
      <c r="E175" s="16">
        <v>11264</v>
      </c>
      <c r="F175" s="16">
        <f>B175+C175+D175+E175</f>
        <v>46422</v>
      </c>
      <c r="G175" s="68"/>
      <c r="H175" s="68"/>
    </row>
    <row r="176" spans="1:8" s="67" customFormat="1" x14ac:dyDescent="0.3">
      <c r="A176" s="15" t="s">
        <v>190</v>
      </c>
      <c r="B176" s="16">
        <v>25178</v>
      </c>
      <c r="C176" s="16">
        <v>18182</v>
      </c>
      <c r="D176" s="16">
        <v>17211</v>
      </c>
      <c r="E176" s="16">
        <v>16949</v>
      </c>
      <c r="F176" s="16">
        <f>B176+C176+D176+E176</f>
        <v>77520</v>
      </c>
      <c r="G176" s="68"/>
      <c r="H176" s="68"/>
    </row>
    <row r="177" spans="1:8" s="67" customFormat="1" x14ac:dyDescent="0.3">
      <c r="A177" s="15" t="s">
        <v>191</v>
      </c>
      <c r="B177" s="16">
        <v>18586</v>
      </c>
      <c r="C177" s="16">
        <v>13165</v>
      </c>
      <c r="D177" s="16">
        <v>12580</v>
      </c>
      <c r="E177" s="16">
        <v>9896</v>
      </c>
      <c r="F177" s="16">
        <f>B177+C177+D177+E177</f>
        <v>54227</v>
      </c>
      <c r="G177" s="68"/>
      <c r="H177" s="68"/>
    </row>
    <row r="178" spans="1:8" s="67" customFormat="1" x14ac:dyDescent="0.3">
      <c r="A178" s="15" t="s">
        <v>215</v>
      </c>
      <c r="B178" s="16">
        <v>20442</v>
      </c>
      <c r="C178" s="16">
        <v>18975</v>
      </c>
      <c r="D178" s="16">
        <v>18617</v>
      </c>
      <c r="E178" s="16">
        <v>15893</v>
      </c>
      <c r="F178" s="16">
        <f>B178+C178+D178+E178</f>
        <v>73927</v>
      </c>
      <c r="G178" s="68"/>
      <c r="H178" s="68"/>
    </row>
    <row r="179" spans="1:8" s="67" customFormat="1" x14ac:dyDescent="0.3">
      <c r="A179" s="15" t="s">
        <v>193</v>
      </c>
      <c r="B179" s="16">
        <v>14218</v>
      </c>
      <c r="C179" s="16">
        <v>12513</v>
      </c>
      <c r="D179" s="16">
        <v>9741</v>
      </c>
      <c r="E179" s="16">
        <v>10432</v>
      </c>
      <c r="F179" s="16">
        <f>B179+C179+D179+E179</f>
        <v>46904</v>
      </c>
      <c r="G179" s="68"/>
      <c r="H179" s="68"/>
    </row>
    <row r="180" spans="1:8" s="67" customFormat="1" x14ac:dyDescent="0.3">
      <c r="A180" s="18" t="s">
        <v>65</v>
      </c>
      <c r="B180" s="20">
        <f>SUM(B175:B179)</f>
        <v>95385</v>
      </c>
      <c r="C180" s="20">
        <f>SUM(C175:C179)</f>
        <v>73462</v>
      </c>
      <c r="D180" s="20">
        <f>SUM(D175:D179)</f>
        <v>65719</v>
      </c>
      <c r="E180" s="20">
        <f>SUM(E175:E179)</f>
        <v>64434</v>
      </c>
      <c r="F180" s="20">
        <f>SUM(F175:F179)</f>
        <v>299000</v>
      </c>
    </row>
    <row r="181" spans="1:8" s="67" customFormat="1" x14ac:dyDescent="0.3">
      <c r="A181" s="69"/>
      <c r="B181" s="41"/>
      <c r="C181" s="41"/>
      <c r="D181" s="41"/>
      <c r="E181" s="41"/>
      <c r="F181" s="41"/>
    </row>
    <row r="182" spans="1:8" s="67" customFormat="1" x14ac:dyDescent="0.3">
      <c r="A182" s="12" t="s">
        <v>219</v>
      </c>
      <c r="B182" s="13" t="str">
        <f>B174</f>
        <v>Q1 FY 22</v>
      </c>
      <c r="C182" s="13" t="str">
        <f>C174</f>
        <v>Q2 FY 22</v>
      </c>
      <c r="D182" s="13" t="str">
        <f>D174</f>
        <v>Q3 FY 22</v>
      </c>
      <c r="E182" s="13" t="str">
        <f>E174</f>
        <v>Q4 FY 22</v>
      </c>
      <c r="F182" s="13" t="str">
        <f>F174</f>
        <v>YTD</v>
      </c>
    </row>
    <row r="183" spans="1:8" s="67" customFormat="1" x14ac:dyDescent="0.3">
      <c r="A183" s="15" t="s">
        <v>189</v>
      </c>
      <c r="B183" s="79">
        <f t="shared" ref="B183:F188" si="13">B167+B175</f>
        <v>23679</v>
      </c>
      <c r="C183" s="79">
        <f>C167+C175</f>
        <v>14338</v>
      </c>
      <c r="D183" s="79">
        <f t="shared" si="13"/>
        <v>10847</v>
      </c>
      <c r="E183" s="79">
        <f t="shared" si="13"/>
        <v>14574</v>
      </c>
      <c r="F183" s="79">
        <f t="shared" si="13"/>
        <v>63438</v>
      </c>
    </row>
    <row r="184" spans="1:8" s="67" customFormat="1" x14ac:dyDescent="0.3">
      <c r="A184" s="15" t="s">
        <v>190</v>
      </c>
      <c r="B184" s="79">
        <f t="shared" si="13"/>
        <v>31357</v>
      </c>
      <c r="C184" s="79">
        <f>C168+C176</f>
        <v>21320</v>
      </c>
      <c r="D184" s="79">
        <f t="shared" si="13"/>
        <v>18810</v>
      </c>
      <c r="E184" s="79">
        <f t="shared" si="13"/>
        <v>19818</v>
      </c>
      <c r="F184" s="79">
        <f t="shared" si="13"/>
        <v>91305</v>
      </c>
    </row>
    <row r="185" spans="1:8" s="67" customFormat="1" x14ac:dyDescent="0.3">
      <c r="A185" s="15" t="s">
        <v>191</v>
      </c>
      <c r="B185" s="79">
        <f t="shared" si="13"/>
        <v>25815</v>
      </c>
      <c r="C185" s="79">
        <f>C169+C177</f>
        <v>17109</v>
      </c>
      <c r="D185" s="79">
        <f t="shared" si="13"/>
        <v>15949</v>
      </c>
      <c r="E185" s="79">
        <f t="shared" si="13"/>
        <v>13195</v>
      </c>
      <c r="F185" s="79">
        <f t="shared" si="13"/>
        <v>72068</v>
      </c>
    </row>
    <row r="186" spans="1:8" s="67" customFormat="1" x14ac:dyDescent="0.3">
      <c r="A186" s="15" t="s">
        <v>215</v>
      </c>
      <c r="B186" s="79">
        <f t="shared" si="13"/>
        <v>27045</v>
      </c>
      <c r="C186" s="79">
        <f>C170+C178</f>
        <v>25484</v>
      </c>
      <c r="D186" s="79">
        <f t="shared" si="13"/>
        <v>23735</v>
      </c>
      <c r="E186" s="79">
        <f t="shared" si="13"/>
        <v>19521</v>
      </c>
      <c r="F186" s="79">
        <f t="shared" si="13"/>
        <v>95785</v>
      </c>
    </row>
    <row r="187" spans="1:8" s="67" customFormat="1" x14ac:dyDescent="0.3">
      <c r="A187" s="15" t="s">
        <v>193</v>
      </c>
      <c r="B187" s="79">
        <f t="shared" si="13"/>
        <v>16641</v>
      </c>
      <c r="C187" s="79">
        <f>C171+C179</f>
        <v>14459</v>
      </c>
      <c r="D187" s="79">
        <f t="shared" si="13"/>
        <v>10785</v>
      </c>
      <c r="E187" s="79">
        <f t="shared" si="13"/>
        <v>11900</v>
      </c>
      <c r="F187" s="79">
        <f t="shared" si="13"/>
        <v>53785</v>
      </c>
    </row>
    <row r="188" spans="1:8" s="67" customFormat="1" x14ac:dyDescent="0.3">
      <c r="A188" s="18" t="s">
        <v>196</v>
      </c>
      <c r="B188" s="70">
        <f t="shared" si="13"/>
        <v>124537</v>
      </c>
      <c r="C188" s="70">
        <f t="shared" si="13"/>
        <v>92710</v>
      </c>
      <c r="D188" s="70">
        <f t="shared" si="13"/>
        <v>80126</v>
      </c>
      <c r="E188" s="70">
        <f t="shared" si="13"/>
        <v>79008</v>
      </c>
      <c r="F188" s="70">
        <f>F172+F180</f>
        <v>376381</v>
      </c>
      <c r="G188" s="71"/>
    </row>
    <row r="189" spans="1:8" s="67" customFormat="1" x14ac:dyDescent="0.3">
      <c r="A189" s="73"/>
      <c r="B189" s="95"/>
      <c r="C189" s="95"/>
      <c r="D189" s="95"/>
      <c r="E189" s="95"/>
      <c r="F189" s="95"/>
      <c r="G189" s="96"/>
    </row>
    <row r="190" spans="1:8" s="67" customFormat="1" x14ac:dyDescent="0.3">
      <c r="A190" s="86" t="s">
        <v>199</v>
      </c>
      <c r="B190" s="97">
        <v>14812</v>
      </c>
      <c r="C190" s="97">
        <v>14532</v>
      </c>
      <c r="D190" s="97">
        <v>13700</v>
      </c>
      <c r="E190" s="97">
        <v>10991</v>
      </c>
      <c r="F190" s="97">
        <f>SUM(B190:E190)</f>
        <v>54035</v>
      </c>
      <c r="H190" s="68"/>
    </row>
    <row r="191" spans="1:8" s="67" customFormat="1" x14ac:dyDescent="0.3">
      <c r="A191" s="73"/>
      <c r="B191" s="95"/>
      <c r="C191" s="95"/>
      <c r="D191" s="95"/>
      <c r="E191" s="95"/>
      <c r="F191" s="95"/>
      <c r="H191" s="68"/>
    </row>
    <row r="192" spans="1:8" s="99" customFormat="1" ht="6" customHeight="1" x14ac:dyDescent="0.3">
      <c r="A192" s="75"/>
      <c r="B192" s="98"/>
      <c r="C192" s="98"/>
      <c r="D192" s="98"/>
      <c r="E192" s="98"/>
      <c r="F192" s="98"/>
    </row>
    <row r="194" spans="1:8" x14ac:dyDescent="0.3">
      <c r="A194" s="9" t="s">
        <v>217</v>
      </c>
      <c r="B194" s="52"/>
      <c r="C194" s="52"/>
      <c r="D194" s="52"/>
    </row>
    <row r="195" spans="1:8" x14ac:dyDescent="0.3">
      <c r="A195" s="66"/>
      <c r="B195" s="52"/>
      <c r="C195" s="52"/>
      <c r="D195" s="52"/>
    </row>
    <row r="196" spans="1:8" s="67" customFormat="1" x14ac:dyDescent="0.3">
      <c r="A196" s="11" t="s">
        <v>86</v>
      </c>
      <c r="B196"/>
      <c r="C196"/>
      <c r="D196"/>
      <c r="E196"/>
      <c r="F196"/>
    </row>
    <row r="197" spans="1:8" s="67" customFormat="1" x14ac:dyDescent="0.3">
      <c r="A197" s="21"/>
      <c r="B197"/>
      <c r="C197"/>
      <c r="D197"/>
      <c r="E197"/>
      <c r="F197"/>
    </row>
    <row r="198" spans="1:8" s="67" customFormat="1" x14ac:dyDescent="0.3">
      <c r="A198" s="12" t="s">
        <v>169</v>
      </c>
      <c r="B198" s="13" t="s">
        <v>87</v>
      </c>
      <c r="C198" s="13" t="s">
        <v>88</v>
      </c>
      <c r="D198" s="13" t="s">
        <v>89</v>
      </c>
      <c r="E198" s="13" t="s">
        <v>90</v>
      </c>
      <c r="F198" s="13" t="s">
        <v>20</v>
      </c>
    </row>
    <row r="199" spans="1:8" s="67" customFormat="1" x14ac:dyDescent="0.3">
      <c r="A199" s="15" t="s">
        <v>189</v>
      </c>
      <c r="B199" s="16">
        <v>2602</v>
      </c>
      <c r="C199" s="16">
        <v>7750</v>
      </c>
      <c r="D199" s="16">
        <v>7148</v>
      </c>
      <c r="E199" s="16">
        <v>5029</v>
      </c>
      <c r="F199" s="16">
        <f>B199+C199+D199+E199</f>
        <v>22529</v>
      </c>
      <c r="G199" s="68"/>
      <c r="H199" s="68"/>
    </row>
    <row r="200" spans="1:8" s="67" customFormat="1" x14ac:dyDescent="0.3">
      <c r="A200" s="15" t="s">
        <v>190</v>
      </c>
      <c r="B200" s="16">
        <v>4547</v>
      </c>
      <c r="C200" s="16">
        <v>5168</v>
      </c>
      <c r="D200" s="16">
        <v>3723</v>
      </c>
      <c r="E200" s="16">
        <v>4748</v>
      </c>
      <c r="F200" s="16">
        <f>B200+C200+D200+E200</f>
        <v>18186</v>
      </c>
      <c r="G200" s="68"/>
      <c r="H200" s="68"/>
    </row>
    <row r="201" spans="1:8" s="67" customFormat="1" x14ac:dyDescent="0.3">
      <c r="A201" s="15" t="s">
        <v>191</v>
      </c>
      <c r="B201" s="16">
        <v>2844</v>
      </c>
      <c r="C201" s="16">
        <v>5252</v>
      </c>
      <c r="D201" s="16">
        <v>7006</v>
      </c>
      <c r="E201" s="16">
        <v>5476</v>
      </c>
      <c r="F201" s="16">
        <f>B201+C201+D201+E201</f>
        <v>20578</v>
      </c>
      <c r="G201" s="68"/>
      <c r="H201" s="68"/>
    </row>
    <row r="202" spans="1:8" s="67" customFormat="1" x14ac:dyDescent="0.3">
      <c r="A202" s="15" t="s">
        <v>215</v>
      </c>
      <c r="B202" s="16">
        <v>6991</v>
      </c>
      <c r="C202" s="16">
        <v>6821</v>
      </c>
      <c r="D202" s="16">
        <v>7806</v>
      </c>
      <c r="E202" s="16">
        <v>6563</v>
      </c>
      <c r="F202" s="16">
        <f>B202+C202+D202+E202</f>
        <v>28181</v>
      </c>
      <c r="H202" s="68"/>
    </row>
    <row r="203" spans="1:8" s="67" customFormat="1" x14ac:dyDescent="0.3">
      <c r="A203" s="15" t="s">
        <v>193</v>
      </c>
      <c r="B203" s="16">
        <v>1803</v>
      </c>
      <c r="C203" s="16">
        <v>2356</v>
      </c>
      <c r="D203" s="16">
        <v>2389</v>
      </c>
      <c r="E203" s="16">
        <v>1647</v>
      </c>
      <c r="F203" s="16">
        <f>B203+C203+D203+E203</f>
        <v>8195</v>
      </c>
      <c r="G203" s="68"/>
      <c r="H203" s="68"/>
    </row>
    <row r="204" spans="1:8" s="67" customFormat="1" x14ac:dyDescent="0.3">
      <c r="A204" s="18" t="s">
        <v>41</v>
      </c>
      <c r="B204" s="20">
        <f>SUM(B199:B203)</f>
        <v>18787</v>
      </c>
      <c r="C204" s="20">
        <f>SUM(C199:C203)</f>
        <v>27347</v>
      </c>
      <c r="D204" s="20">
        <f>SUM(D199:D203)</f>
        <v>28072</v>
      </c>
      <c r="E204" s="20">
        <f>SUM(E199:E203)</f>
        <v>23463</v>
      </c>
      <c r="F204" s="20">
        <f>SUM(F199:F203)</f>
        <v>97669</v>
      </c>
      <c r="G204" s="68"/>
    </row>
    <row r="205" spans="1:8" s="67" customFormat="1" x14ac:dyDescent="0.3">
      <c r="A205" s="69"/>
      <c r="B205" s="41"/>
      <c r="C205" s="41"/>
      <c r="D205" s="41"/>
      <c r="E205" s="41"/>
      <c r="F205" s="41"/>
    </row>
    <row r="206" spans="1:8" s="67" customFormat="1" x14ac:dyDescent="0.3">
      <c r="A206" s="12" t="s">
        <v>172</v>
      </c>
      <c r="B206" s="13" t="str">
        <f>B198</f>
        <v>Q1 FY 21</v>
      </c>
      <c r="C206" s="13" t="str">
        <f>C198</f>
        <v>Q2 FY 21</v>
      </c>
      <c r="D206" s="13" t="str">
        <f>D198</f>
        <v>Q3 FY 21</v>
      </c>
      <c r="E206" s="13" t="str">
        <f>E198</f>
        <v>Q4 FY 21</v>
      </c>
      <c r="F206" s="13" t="str">
        <f>F198</f>
        <v>YTD</v>
      </c>
    </row>
    <row r="207" spans="1:8" s="67" customFormat="1" x14ac:dyDescent="0.3">
      <c r="A207" s="15" t="s">
        <v>189</v>
      </c>
      <c r="B207" s="16">
        <v>5650</v>
      </c>
      <c r="C207" s="16">
        <v>19615</v>
      </c>
      <c r="D207" s="16">
        <v>13917</v>
      </c>
      <c r="E207" s="16">
        <v>21284</v>
      </c>
      <c r="F207" s="16">
        <f>B207+C207+D207+E207</f>
        <v>60466</v>
      </c>
      <c r="G207" s="68"/>
      <c r="H207" s="68"/>
    </row>
    <row r="208" spans="1:8" s="67" customFormat="1" x14ac:dyDescent="0.3">
      <c r="A208" s="15" t="s">
        <v>190</v>
      </c>
      <c r="B208" s="16">
        <v>16286</v>
      </c>
      <c r="C208" s="16">
        <v>20094</v>
      </c>
      <c r="D208" s="16">
        <v>29547</v>
      </c>
      <c r="E208" s="16">
        <v>26692</v>
      </c>
      <c r="F208" s="16">
        <f>B208+C208+D208+E208</f>
        <v>92619</v>
      </c>
      <c r="G208" s="68"/>
      <c r="H208" s="68"/>
    </row>
    <row r="209" spans="1:8" s="67" customFormat="1" x14ac:dyDescent="0.3">
      <c r="A209" s="15" t="s">
        <v>191</v>
      </c>
      <c r="B209" s="16">
        <v>8683</v>
      </c>
      <c r="C209" s="16">
        <v>15361</v>
      </c>
      <c r="D209" s="16">
        <v>17826</v>
      </c>
      <c r="E209" s="16">
        <v>16812</v>
      </c>
      <c r="F209" s="16">
        <f>B209+C209+D209+E209</f>
        <v>58682</v>
      </c>
      <c r="G209" s="68"/>
      <c r="H209" s="68"/>
    </row>
    <row r="210" spans="1:8" s="67" customFormat="1" x14ac:dyDescent="0.3">
      <c r="A210" s="15" t="s">
        <v>215</v>
      </c>
      <c r="B210" s="16">
        <v>16735</v>
      </c>
      <c r="C210" s="16">
        <v>20367</v>
      </c>
      <c r="D210" s="16">
        <v>24862</v>
      </c>
      <c r="E210" s="16">
        <v>21061</v>
      </c>
      <c r="F210" s="16">
        <f>B210+C210+D210+E210</f>
        <v>83025</v>
      </c>
      <c r="G210" s="68"/>
      <c r="H210" s="68"/>
    </row>
    <row r="211" spans="1:8" s="67" customFormat="1" x14ac:dyDescent="0.3">
      <c r="A211" s="15" t="s">
        <v>193</v>
      </c>
      <c r="B211" s="16">
        <v>7926</v>
      </c>
      <c r="C211" s="16">
        <v>10785</v>
      </c>
      <c r="D211" s="16">
        <v>14245</v>
      </c>
      <c r="E211" s="16">
        <v>14171</v>
      </c>
      <c r="F211" s="16">
        <f>B211+C211+D211+E211</f>
        <v>47127</v>
      </c>
      <c r="G211" s="68"/>
      <c r="H211" s="68"/>
    </row>
    <row r="212" spans="1:8" s="67" customFormat="1" x14ac:dyDescent="0.3">
      <c r="A212" s="18" t="s">
        <v>65</v>
      </c>
      <c r="B212" s="20">
        <f>SUM(B207:B211)</f>
        <v>55280</v>
      </c>
      <c r="C212" s="20">
        <f>SUM(C207:C211)</f>
        <v>86222</v>
      </c>
      <c r="D212" s="20">
        <f>SUM(D207:D211)</f>
        <v>100397</v>
      </c>
      <c r="E212" s="20">
        <f>SUM(E207:E211)</f>
        <v>100020</v>
      </c>
      <c r="F212" s="20">
        <f>SUM(F207:F211)</f>
        <v>341919</v>
      </c>
    </row>
    <row r="213" spans="1:8" s="67" customFormat="1" x14ac:dyDescent="0.3">
      <c r="A213" s="69"/>
      <c r="B213" s="41"/>
      <c r="C213" s="41"/>
      <c r="D213" s="41"/>
      <c r="E213" s="41"/>
      <c r="F213" s="41"/>
    </row>
    <row r="214" spans="1:8" s="67" customFormat="1" x14ac:dyDescent="0.3">
      <c r="A214" s="12" t="s">
        <v>219</v>
      </c>
      <c r="B214" s="13" t="str">
        <f>B206</f>
        <v>Q1 FY 21</v>
      </c>
      <c r="C214" s="13" t="str">
        <f>C206</f>
        <v>Q2 FY 21</v>
      </c>
      <c r="D214" s="13" t="str">
        <f>D206</f>
        <v>Q3 FY 21</v>
      </c>
      <c r="E214" s="13" t="str">
        <f>E206</f>
        <v>Q4 FY 21</v>
      </c>
      <c r="F214" s="13" t="str">
        <f>F206</f>
        <v>YTD</v>
      </c>
    </row>
    <row r="215" spans="1:8" s="67" customFormat="1" x14ac:dyDescent="0.3">
      <c r="A215" s="15" t="s">
        <v>189</v>
      </c>
      <c r="B215" s="16">
        <f t="shared" ref="B215:F220" si="14">B199+B207</f>
        <v>8252</v>
      </c>
      <c r="C215" s="16">
        <f t="shared" si="14"/>
        <v>27365</v>
      </c>
      <c r="D215" s="16">
        <f t="shared" si="14"/>
        <v>21065</v>
      </c>
      <c r="E215" s="16">
        <f t="shared" si="14"/>
        <v>26313</v>
      </c>
      <c r="F215" s="16">
        <f t="shared" si="14"/>
        <v>82995</v>
      </c>
    </row>
    <row r="216" spans="1:8" s="67" customFormat="1" x14ac:dyDescent="0.3">
      <c r="A216" s="15" t="s">
        <v>190</v>
      </c>
      <c r="B216" s="16">
        <f t="shared" si="14"/>
        <v>20833</v>
      </c>
      <c r="C216" s="16">
        <f t="shared" si="14"/>
        <v>25262</v>
      </c>
      <c r="D216" s="16">
        <f t="shared" si="14"/>
        <v>33270</v>
      </c>
      <c r="E216" s="16">
        <f t="shared" si="14"/>
        <v>31440</v>
      </c>
      <c r="F216" s="16">
        <f t="shared" si="14"/>
        <v>110805</v>
      </c>
    </row>
    <row r="217" spans="1:8" s="67" customFormat="1" x14ac:dyDescent="0.3">
      <c r="A217" s="15" t="s">
        <v>191</v>
      </c>
      <c r="B217" s="16">
        <f t="shared" si="14"/>
        <v>11527</v>
      </c>
      <c r="C217" s="16">
        <f t="shared" si="14"/>
        <v>20613</v>
      </c>
      <c r="D217" s="16">
        <f t="shared" si="14"/>
        <v>24832</v>
      </c>
      <c r="E217" s="16">
        <f t="shared" si="14"/>
        <v>22288</v>
      </c>
      <c r="F217" s="16">
        <f t="shared" si="14"/>
        <v>79260</v>
      </c>
    </row>
    <row r="218" spans="1:8" s="67" customFormat="1" x14ac:dyDescent="0.3">
      <c r="A218" s="15" t="s">
        <v>215</v>
      </c>
      <c r="B218" s="16">
        <f t="shared" si="14"/>
        <v>23726</v>
      </c>
      <c r="C218" s="16">
        <f t="shared" si="14"/>
        <v>27188</v>
      </c>
      <c r="D218" s="16">
        <f t="shared" si="14"/>
        <v>32668</v>
      </c>
      <c r="E218" s="16">
        <f t="shared" si="14"/>
        <v>27624</v>
      </c>
      <c r="F218" s="16">
        <f t="shared" si="14"/>
        <v>111206</v>
      </c>
    </row>
    <row r="219" spans="1:8" s="67" customFormat="1" x14ac:dyDescent="0.3">
      <c r="A219" s="15" t="s">
        <v>193</v>
      </c>
      <c r="B219" s="16">
        <f t="shared" si="14"/>
        <v>9729</v>
      </c>
      <c r="C219" s="16">
        <f t="shared" si="14"/>
        <v>13141</v>
      </c>
      <c r="D219" s="16">
        <f t="shared" si="14"/>
        <v>16634</v>
      </c>
      <c r="E219" s="16">
        <f t="shared" si="14"/>
        <v>15818</v>
      </c>
      <c r="F219" s="16">
        <f t="shared" si="14"/>
        <v>55322</v>
      </c>
    </row>
    <row r="220" spans="1:8" s="67" customFormat="1" x14ac:dyDescent="0.3">
      <c r="A220" s="18" t="s">
        <v>196</v>
      </c>
      <c r="B220" s="20">
        <f t="shared" si="14"/>
        <v>74067</v>
      </c>
      <c r="C220" s="20">
        <f>C204+C212</f>
        <v>113569</v>
      </c>
      <c r="D220" s="20">
        <f t="shared" si="14"/>
        <v>128469</v>
      </c>
      <c r="E220" s="20">
        <f t="shared" si="14"/>
        <v>123483</v>
      </c>
      <c r="F220" s="20">
        <f t="shared" si="14"/>
        <v>439588</v>
      </c>
      <c r="G220" s="71"/>
    </row>
    <row r="221" spans="1:8" s="67" customFormat="1" x14ac:dyDescent="0.3">
      <c r="A221" s="73"/>
      <c r="B221" s="95"/>
      <c r="C221" s="95"/>
      <c r="D221" s="95"/>
      <c r="E221" s="95"/>
      <c r="F221" s="95"/>
      <c r="G221" s="96"/>
    </row>
    <row r="222" spans="1:8" s="67" customFormat="1" x14ac:dyDescent="0.3">
      <c r="A222" s="86" t="s">
        <v>199</v>
      </c>
      <c r="B222" s="97">
        <v>14083</v>
      </c>
      <c r="C222" s="97">
        <v>16040</v>
      </c>
      <c r="D222" s="97">
        <v>18267</v>
      </c>
      <c r="E222" s="97">
        <v>15929</v>
      </c>
      <c r="F222" s="97">
        <f>SUM(B222:E222)</f>
        <v>64319</v>
      </c>
      <c r="H222" s="68"/>
    </row>
    <row r="223" spans="1:8" s="67" customFormat="1" x14ac:dyDescent="0.3">
      <c r="A223" s="73"/>
      <c r="B223" s="95"/>
      <c r="C223" s="95"/>
      <c r="D223" s="95"/>
      <c r="E223" s="95"/>
      <c r="F223" s="95"/>
      <c r="H223" s="68"/>
    </row>
    <row r="224" spans="1:8" s="99" customFormat="1" ht="6" customHeight="1" x14ac:dyDescent="0.3">
      <c r="A224" s="75"/>
      <c r="B224" s="98"/>
      <c r="C224" s="98"/>
      <c r="D224" s="98"/>
      <c r="E224" s="98"/>
      <c r="F224" s="98"/>
    </row>
    <row r="226" spans="1:6" x14ac:dyDescent="0.3">
      <c r="A226" s="9" t="s">
        <v>217</v>
      </c>
      <c r="B226" s="52"/>
      <c r="C226" s="52"/>
      <c r="D226" s="52"/>
    </row>
    <row r="227" spans="1:6" x14ac:dyDescent="0.3">
      <c r="A227" s="66"/>
      <c r="B227" s="52"/>
      <c r="C227" s="52"/>
      <c r="D227" s="52"/>
    </row>
    <row r="228" spans="1:6" s="67" customFormat="1" x14ac:dyDescent="0.3">
      <c r="A228" s="11" t="s">
        <v>91</v>
      </c>
      <c r="B228"/>
      <c r="C228"/>
      <c r="D228"/>
      <c r="E228"/>
      <c r="F228"/>
    </row>
    <row r="229" spans="1:6" s="67" customFormat="1" x14ac:dyDescent="0.3">
      <c r="A229" s="29"/>
      <c r="B229"/>
      <c r="C229"/>
      <c r="D229"/>
      <c r="E229"/>
      <c r="F229"/>
    </row>
    <row r="230" spans="1:6" s="67" customFormat="1" x14ac:dyDescent="0.3">
      <c r="A230" s="12" t="s">
        <v>169</v>
      </c>
      <c r="B230" s="13" t="s">
        <v>92</v>
      </c>
      <c r="C230" s="13" t="s">
        <v>93</v>
      </c>
      <c r="D230" s="13" t="s">
        <v>94</v>
      </c>
      <c r="E230" s="13" t="s">
        <v>95</v>
      </c>
      <c r="F230" s="13" t="s">
        <v>20</v>
      </c>
    </row>
    <row r="231" spans="1:6" s="67" customFormat="1" x14ac:dyDescent="0.3">
      <c r="A231" s="15" t="s">
        <v>189</v>
      </c>
      <c r="B231" s="16">
        <v>8405</v>
      </c>
      <c r="C231" s="16">
        <v>9496</v>
      </c>
      <c r="D231" s="16">
        <v>6760</v>
      </c>
      <c r="E231" s="16">
        <v>7872</v>
      </c>
      <c r="F231" s="16">
        <f>B231+C231+D231+E231</f>
        <v>32533</v>
      </c>
    </row>
    <row r="232" spans="1:6" s="67" customFormat="1" x14ac:dyDescent="0.3">
      <c r="A232" s="15" t="s">
        <v>190</v>
      </c>
      <c r="B232" s="16">
        <v>7016</v>
      </c>
      <c r="C232" s="16">
        <v>7026</v>
      </c>
      <c r="D232" s="16">
        <v>9372</v>
      </c>
      <c r="E232" s="16">
        <v>6681</v>
      </c>
      <c r="F232" s="16">
        <f>B232+C232+D232+E232</f>
        <v>30095</v>
      </c>
    </row>
    <row r="233" spans="1:6" s="67" customFormat="1" x14ac:dyDescent="0.3">
      <c r="A233" s="15" t="s">
        <v>191</v>
      </c>
      <c r="B233" s="16">
        <v>10613</v>
      </c>
      <c r="C233" s="16">
        <v>8516</v>
      </c>
      <c r="D233" s="16">
        <v>9206</v>
      </c>
      <c r="E233" s="16">
        <v>7000</v>
      </c>
      <c r="F233" s="16">
        <f>B233+C233+D233+E233</f>
        <v>35335</v>
      </c>
    </row>
    <row r="234" spans="1:6" s="67" customFormat="1" x14ac:dyDescent="0.3">
      <c r="A234" s="15" t="s">
        <v>215</v>
      </c>
      <c r="B234" s="16">
        <v>9335</v>
      </c>
      <c r="C234" s="16">
        <v>7695</v>
      </c>
      <c r="D234" s="16">
        <v>5603</v>
      </c>
      <c r="E234" s="16">
        <v>3428</v>
      </c>
      <c r="F234" s="16">
        <f>B234+C234+D234+E234</f>
        <v>26061</v>
      </c>
    </row>
    <row r="235" spans="1:6" s="67" customFormat="1" x14ac:dyDescent="0.3">
      <c r="A235" s="15" t="s">
        <v>193</v>
      </c>
      <c r="B235" s="16">
        <v>4171</v>
      </c>
      <c r="C235" s="16">
        <v>4590</v>
      </c>
      <c r="D235" s="16">
        <v>4501</v>
      </c>
      <c r="E235" s="16">
        <v>3307</v>
      </c>
      <c r="F235" s="16">
        <f>B235+C235+D235+E235</f>
        <v>16569</v>
      </c>
    </row>
    <row r="236" spans="1:6" s="67" customFormat="1" x14ac:dyDescent="0.3">
      <c r="A236" s="18" t="s">
        <v>41</v>
      </c>
      <c r="B236" s="20">
        <f>SUM(B231:B235)</f>
        <v>39540</v>
      </c>
      <c r="C236" s="20">
        <f>SUM(C231:C235)</f>
        <v>37323</v>
      </c>
      <c r="D236" s="20">
        <f>SUM(D231:D235)</f>
        <v>35442</v>
      </c>
      <c r="E236" s="20">
        <f>SUM(E231:E235)</f>
        <v>28288</v>
      </c>
      <c r="F236" s="20">
        <f>SUM(F231:F235)</f>
        <v>140593</v>
      </c>
    </row>
    <row r="237" spans="1:6" s="67" customFormat="1" x14ac:dyDescent="0.3">
      <c r="A237" s="69"/>
      <c r="B237" s="41"/>
      <c r="C237" s="41"/>
      <c r="D237" s="41"/>
      <c r="E237" s="41"/>
      <c r="F237" s="41"/>
    </row>
    <row r="238" spans="1:6" s="67" customFormat="1" x14ac:dyDescent="0.3">
      <c r="A238" s="12" t="s">
        <v>172</v>
      </c>
      <c r="B238" s="13" t="str">
        <f>B230</f>
        <v>Q1 FY 20</v>
      </c>
      <c r="C238" s="13" t="str">
        <f>C230</f>
        <v>Q2 FY 20</v>
      </c>
      <c r="D238" s="13" t="str">
        <f>D230</f>
        <v>Q3 FY 20</v>
      </c>
      <c r="E238" s="13" t="str">
        <f>E230</f>
        <v>Q4 FY 20</v>
      </c>
      <c r="F238" s="13" t="str">
        <f>F230</f>
        <v>YTD</v>
      </c>
    </row>
    <row r="239" spans="1:6" s="67" customFormat="1" x14ac:dyDescent="0.3">
      <c r="A239" s="15" t="s">
        <v>189</v>
      </c>
      <c r="B239" s="16">
        <v>18660</v>
      </c>
      <c r="C239" s="16">
        <v>18680</v>
      </c>
      <c r="D239" s="16">
        <v>16374</v>
      </c>
      <c r="E239" s="16">
        <v>20365</v>
      </c>
      <c r="F239" s="16">
        <f>B239+C239+D239+E239</f>
        <v>74079</v>
      </c>
    </row>
    <row r="240" spans="1:6" s="67" customFormat="1" x14ac:dyDescent="0.3">
      <c r="A240" s="15" t="s">
        <v>190</v>
      </c>
      <c r="B240" s="16">
        <v>23675</v>
      </c>
      <c r="C240" s="16">
        <v>22966</v>
      </c>
      <c r="D240" s="16">
        <v>30815</v>
      </c>
      <c r="E240" s="16">
        <v>21795</v>
      </c>
      <c r="F240" s="16">
        <f>B240+C240+D240+E240</f>
        <v>99251</v>
      </c>
    </row>
    <row r="241" spans="1:7" s="67" customFormat="1" x14ac:dyDescent="0.3">
      <c r="A241" s="15" t="s">
        <v>191</v>
      </c>
      <c r="B241" s="16">
        <v>17601</v>
      </c>
      <c r="C241" s="16">
        <v>17197</v>
      </c>
      <c r="D241" s="16">
        <v>20477</v>
      </c>
      <c r="E241" s="16">
        <v>16427</v>
      </c>
      <c r="F241" s="16">
        <f>B241+C241+D241+E241</f>
        <v>71702</v>
      </c>
    </row>
    <row r="242" spans="1:7" s="67" customFormat="1" x14ac:dyDescent="0.3">
      <c r="A242" s="15" t="s">
        <v>215</v>
      </c>
      <c r="B242" s="16">
        <v>14989</v>
      </c>
      <c r="C242" s="16">
        <v>18528</v>
      </c>
      <c r="D242" s="16">
        <v>21820</v>
      </c>
      <c r="E242" s="16">
        <v>8726</v>
      </c>
      <c r="F242" s="16">
        <f>B242+C242+D242+E242</f>
        <v>64063</v>
      </c>
    </row>
    <row r="243" spans="1:7" s="67" customFormat="1" x14ac:dyDescent="0.3">
      <c r="A243" s="15" t="s">
        <v>193</v>
      </c>
      <c r="B243" s="16">
        <v>14150</v>
      </c>
      <c r="C243" s="16">
        <v>14259</v>
      </c>
      <c r="D243" s="16">
        <v>16294</v>
      </c>
      <c r="E243" s="16">
        <v>14268</v>
      </c>
      <c r="F243" s="16">
        <f>B243+C243+D243+E243</f>
        <v>58971</v>
      </c>
    </row>
    <row r="244" spans="1:7" s="67" customFormat="1" x14ac:dyDescent="0.3">
      <c r="A244" s="18" t="s">
        <v>65</v>
      </c>
      <c r="B244" s="20">
        <f>SUM(B239:B243)</f>
        <v>89075</v>
      </c>
      <c r="C244" s="20">
        <f>SUM(C239:C243)</f>
        <v>91630</v>
      </c>
      <c r="D244" s="20">
        <f>SUM(D239:D243)</f>
        <v>105780</v>
      </c>
      <c r="E244" s="20">
        <f>SUM(E239:E243)</f>
        <v>81581</v>
      </c>
      <c r="F244" s="20">
        <f>SUM(F239:F243)</f>
        <v>368066</v>
      </c>
    </row>
    <row r="245" spans="1:7" s="67" customFormat="1" x14ac:dyDescent="0.3">
      <c r="A245" s="69"/>
      <c r="B245" s="41"/>
      <c r="C245" s="41"/>
      <c r="D245" s="41"/>
      <c r="E245" s="41"/>
      <c r="F245" s="41"/>
    </row>
    <row r="246" spans="1:7" s="67" customFormat="1" x14ac:dyDescent="0.3">
      <c r="A246" s="12" t="s">
        <v>219</v>
      </c>
      <c r="B246" s="13" t="str">
        <f>B238</f>
        <v>Q1 FY 20</v>
      </c>
      <c r="C246" s="13" t="str">
        <f>C238</f>
        <v>Q2 FY 20</v>
      </c>
      <c r="D246" s="13" t="str">
        <f>D238</f>
        <v>Q3 FY 20</v>
      </c>
      <c r="E246" s="13" t="str">
        <f>E238</f>
        <v>Q4 FY 20</v>
      </c>
      <c r="F246" s="13" t="str">
        <f>F238</f>
        <v>YTD</v>
      </c>
    </row>
    <row r="247" spans="1:7" s="67" customFormat="1" x14ac:dyDescent="0.3">
      <c r="A247" s="15" t="s">
        <v>189</v>
      </c>
      <c r="B247" s="16">
        <f t="shared" ref="B247:F252" si="15">B231+B239</f>
        <v>27065</v>
      </c>
      <c r="C247" s="16">
        <f t="shared" si="15"/>
        <v>28176</v>
      </c>
      <c r="D247" s="16">
        <f t="shared" si="15"/>
        <v>23134</v>
      </c>
      <c r="E247" s="16">
        <f t="shared" si="15"/>
        <v>28237</v>
      </c>
      <c r="F247" s="16">
        <f t="shared" si="15"/>
        <v>106612</v>
      </c>
    </row>
    <row r="248" spans="1:7" s="67" customFormat="1" x14ac:dyDescent="0.3">
      <c r="A248" s="15" t="s">
        <v>190</v>
      </c>
      <c r="B248" s="16">
        <f t="shared" si="15"/>
        <v>30691</v>
      </c>
      <c r="C248" s="16">
        <f t="shared" si="15"/>
        <v>29992</v>
      </c>
      <c r="D248" s="16">
        <f t="shared" si="15"/>
        <v>40187</v>
      </c>
      <c r="E248" s="16">
        <f t="shared" si="15"/>
        <v>28476</v>
      </c>
      <c r="F248" s="16">
        <f t="shared" si="15"/>
        <v>129346</v>
      </c>
    </row>
    <row r="249" spans="1:7" s="67" customFormat="1" x14ac:dyDescent="0.3">
      <c r="A249" s="15" t="s">
        <v>191</v>
      </c>
      <c r="B249" s="16">
        <f t="shared" si="15"/>
        <v>28214</v>
      </c>
      <c r="C249" s="16">
        <f t="shared" si="15"/>
        <v>25713</v>
      </c>
      <c r="D249" s="16">
        <f t="shared" si="15"/>
        <v>29683</v>
      </c>
      <c r="E249" s="16">
        <f t="shared" si="15"/>
        <v>23427</v>
      </c>
      <c r="F249" s="16">
        <f t="shared" si="15"/>
        <v>107037</v>
      </c>
    </row>
    <row r="250" spans="1:7" s="67" customFormat="1" x14ac:dyDescent="0.3">
      <c r="A250" s="15" t="s">
        <v>215</v>
      </c>
      <c r="B250" s="16">
        <f t="shared" si="15"/>
        <v>24324</v>
      </c>
      <c r="C250" s="16">
        <f t="shared" si="15"/>
        <v>26223</v>
      </c>
      <c r="D250" s="16">
        <f t="shared" si="15"/>
        <v>27423</v>
      </c>
      <c r="E250" s="16">
        <f t="shared" si="15"/>
        <v>12154</v>
      </c>
      <c r="F250" s="16">
        <f t="shared" si="15"/>
        <v>90124</v>
      </c>
    </row>
    <row r="251" spans="1:7" s="67" customFormat="1" x14ac:dyDescent="0.3">
      <c r="A251" s="15" t="s">
        <v>193</v>
      </c>
      <c r="B251" s="16">
        <f t="shared" si="15"/>
        <v>18321</v>
      </c>
      <c r="C251" s="16">
        <f t="shared" si="15"/>
        <v>18849</v>
      </c>
      <c r="D251" s="16">
        <f t="shared" si="15"/>
        <v>20795</v>
      </c>
      <c r="E251" s="16">
        <f t="shared" si="15"/>
        <v>17575</v>
      </c>
      <c r="F251" s="16">
        <f t="shared" si="15"/>
        <v>75540</v>
      </c>
    </row>
    <row r="252" spans="1:7" s="67" customFormat="1" x14ac:dyDescent="0.3">
      <c r="A252" s="18" t="s">
        <v>196</v>
      </c>
      <c r="B252" s="20">
        <f t="shared" si="15"/>
        <v>128615</v>
      </c>
      <c r="C252" s="20">
        <f t="shared" si="15"/>
        <v>128953</v>
      </c>
      <c r="D252" s="20">
        <f t="shared" si="15"/>
        <v>141222</v>
      </c>
      <c r="E252" s="20">
        <f t="shared" si="15"/>
        <v>109869</v>
      </c>
      <c r="F252" s="20">
        <f t="shared" si="15"/>
        <v>508659</v>
      </c>
      <c r="G252" s="71"/>
    </row>
    <row r="253" spans="1:7" s="67" customFormat="1" x14ac:dyDescent="0.3">
      <c r="A253" s="73"/>
      <c r="B253" s="95"/>
      <c r="C253" s="95"/>
      <c r="D253" s="95"/>
      <c r="E253" s="95"/>
      <c r="F253" s="95"/>
      <c r="G253" s="96"/>
    </row>
    <row r="254" spans="1:7" s="67" customFormat="1" x14ac:dyDescent="0.3">
      <c r="A254" s="86" t="s">
        <v>199</v>
      </c>
      <c r="B254" s="97">
        <v>14178</v>
      </c>
      <c r="C254" s="97">
        <v>14548</v>
      </c>
      <c r="D254" s="97">
        <v>15351</v>
      </c>
      <c r="E254" s="97">
        <v>5899</v>
      </c>
      <c r="F254" s="97">
        <f>SUM(B254:E254)</f>
        <v>49976</v>
      </c>
    </row>
    <row r="255" spans="1:7" s="67" customFormat="1" x14ac:dyDescent="0.3">
      <c r="A255" s="73"/>
      <c r="B255" s="95"/>
      <c r="C255" s="95"/>
      <c r="D255" s="95"/>
      <c r="E255" s="95"/>
      <c r="F255" s="95"/>
    </row>
    <row r="256" spans="1:7" s="99" customFormat="1" ht="6" customHeight="1" x14ac:dyDescent="0.3">
      <c r="A256" s="75"/>
      <c r="B256" s="98"/>
      <c r="C256" s="98"/>
      <c r="D256" s="98"/>
      <c r="E256" s="98"/>
      <c r="F256" s="98"/>
    </row>
    <row r="257" spans="1:7" x14ac:dyDescent="0.3">
      <c r="A257" s="9" t="s">
        <v>217</v>
      </c>
      <c r="B257" s="52"/>
      <c r="C257" s="52"/>
      <c r="D257" s="52"/>
    </row>
    <row r="258" spans="1:7" x14ac:dyDescent="0.3">
      <c r="A258" s="66"/>
      <c r="B258" s="52"/>
      <c r="C258" s="52"/>
      <c r="D258" s="52"/>
    </row>
    <row r="259" spans="1:7" s="67" customFormat="1" x14ac:dyDescent="0.3">
      <c r="A259" s="11" t="s">
        <v>96</v>
      </c>
      <c r="B259"/>
      <c r="C259"/>
      <c r="D259"/>
      <c r="E259"/>
      <c r="F259"/>
    </row>
    <row r="260" spans="1:7" s="67" customFormat="1" x14ac:dyDescent="0.3">
      <c r="A260" s="29"/>
      <c r="B260"/>
      <c r="C260"/>
      <c r="D260"/>
      <c r="E260"/>
      <c r="F260"/>
    </row>
    <row r="261" spans="1:7" s="67" customFormat="1" x14ac:dyDescent="0.3">
      <c r="A261" s="12" t="s">
        <v>169</v>
      </c>
      <c r="B261" s="13" t="s">
        <v>173</v>
      </c>
      <c r="C261" s="13" t="s">
        <v>174</v>
      </c>
      <c r="D261" s="13" t="s">
        <v>175</v>
      </c>
      <c r="E261" s="13" t="s">
        <v>176</v>
      </c>
      <c r="F261" s="13" t="s">
        <v>20</v>
      </c>
    </row>
    <row r="262" spans="1:7" s="67" customFormat="1" x14ac:dyDescent="0.3">
      <c r="A262" s="15" t="s">
        <v>189</v>
      </c>
      <c r="B262" s="16">
        <v>8383</v>
      </c>
      <c r="C262" s="16">
        <v>10468</v>
      </c>
      <c r="D262" s="16">
        <v>8323</v>
      </c>
      <c r="E262" s="16">
        <v>11341</v>
      </c>
      <c r="F262" s="16">
        <f>B262+C262+D262+E262</f>
        <v>38515</v>
      </c>
    </row>
    <row r="263" spans="1:7" s="67" customFormat="1" x14ac:dyDescent="0.3">
      <c r="A263" s="15" t="s">
        <v>190</v>
      </c>
      <c r="B263" s="16">
        <v>7799</v>
      </c>
      <c r="C263" s="16">
        <v>7482</v>
      </c>
      <c r="D263" s="16">
        <v>10216</v>
      </c>
      <c r="E263" s="16">
        <v>11271</v>
      </c>
      <c r="F263" s="16">
        <f>B263+C263+D263+E263</f>
        <v>36768</v>
      </c>
      <c r="G263" s="71"/>
    </row>
    <row r="264" spans="1:7" s="67" customFormat="1" x14ac:dyDescent="0.3">
      <c r="A264" s="15" t="s">
        <v>191</v>
      </c>
      <c r="B264" s="16">
        <v>11441</v>
      </c>
      <c r="C264" s="16">
        <v>10593</v>
      </c>
      <c r="D264" s="16">
        <v>13542</v>
      </c>
      <c r="E264" s="16">
        <v>13898</v>
      </c>
      <c r="F264" s="16">
        <f>B264+C264+D264+E264</f>
        <v>49474</v>
      </c>
      <c r="G264" s="71"/>
    </row>
    <row r="265" spans="1:7" s="67" customFormat="1" x14ac:dyDescent="0.3">
      <c r="A265" s="15" t="s">
        <v>215</v>
      </c>
      <c r="B265" s="16">
        <v>11342</v>
      </c>
      <c r="C265" s="16">
        <v>7550</v>
      </c>
      <c r="D265" s="16">
        <v>7087</v>
      </c>
      <c r="E265" s="16">
        <v>6818</v>
      </c>
      <c r="F265" s="16">
        <f>B265+C265+D265+E265</f>
        <v>32797</v>
      </c>
      <c r="G265" s="96"/>
    </row>
    <row r="266" spans="1:7" s="67" customFormat="1" x14ac:dyDescent="0.3">
      <c r="A266" s="15" t="s">
        <v>193</v>
      </c>
      <c r="B266" s="16">
        <v>5159</v>
      </c>
      <c r="C266" s="16">
        <v>5847</v>
      </c>
      <c r="D266" s="16">
        <v>5670</v>
      </c>
      <c r="E266" s="16">
        <v>5968</v>
      </c>
      <c r="F266" s="16">
        <f>B266+C266+D266+E266</f>
        <v>22644</v>
      </c>
    </row>
    <row r="267" spans="1:7" s="67" customFormat="1" x14ac:dyDescent="0.3">
      <c r="A267" s="18" t="s">
        <v>41</v>
      </c>
      <c r="B267" s="20">
        <f>SUM(B262:B266)</f>
        <v>44124</v>
      </c>
      <c r="C267" s="20">
        <f>SUM(C262:C266)</f>
        <v>41940</v>
      </c>
      <c r="D267" s="20">
        <f>SUM(D262:D266)</f>
        <v>44838</v>
      </c>
      <c r="E267" s="20">
        <f>SUM(E262:E266)</f>
        <v>49296</v>
      </c>
      <c r="F267" s="20">
        <f>SUM(F262:F266)</f>
        <v>180198</v>
      </c>
    </row>
    <row r="268" spans="1:7" s="67" customFormat="1" x14ac:dyDescent="0.3">
      <c r="A268" s="69"/>
      <c r="B268" s="41"/>
      <c r="C268" s="41"/>
      <c r="D268" s="41"/>
      <c r="E268" s="41"/>
      <c r="F268" s="41"/>
    </row>
    <row r="269" spans="1:7" s="67" customFormat="1" x14ac:dyDescent="0.3">
      <c r="A269" s="12" t="s">
        <v>172</v>
      </c>
      <c r="B269" s="13" t="str">
        <f>B261</f>
        <v>Q1 FY 19</v>
      </c>
      <c r="C269" s="13" t="str">
        <f>C261</f>
        <v>Q2 FY 19</v>
      </c>
      <c r="D269" s="13" t="str">
        <f>D261</f>
        <v>Q3 FY 19</v>
      </c>
      <c r="E269" s="13" t="str">
        <f>E261</f>
        <v>Q4 FY 19</v>
      </c>
      <c r="F269" s="13" t="str">
        <f>F261</f>
        <v>YTD</v>
      </c>
    </row>
    <row r="270" spans="1:7" s="67" customFormat="1" x14ac:dyDescent="0.3">
      <c r="A270" s="15" t="s">
        <v>189</v>
      </c>
      <c r="B270" s="16">
        <v>18003</v>
      </c>
      <c r="C270" s="16">
        <v>19211</v>
      </c>
      <c r="D270" s="16">
        <v>17934</v>
      </c>
      <c r="E270" s="16">
        <v>24252</v>
      </c>
      <c r="F270" s="16">
        <f>B270+C270+D270+E270</f>
        <v>79400</v>
      </c>
    </row>
    <row r="271" spans="1:7" s="67" customFormat="1" x14ac:dyDescent="0.3">
      <c r="A271" s="15" t="s">
        <v>190</v>
      </c>
      <c r="B271" s="16">
        <v>23087</v>
      </c>
      <c r="C271" s="16">
        <v>22811</v>
      </c>
      <c r="D271" s="16">
        <v>29543</v>
      </c>
      <c r="E271" s="16">
        <v>27569</v>
      </c>
      <c r="F271" s="16">
        <f>B271+C271+D271+E271</f>
        <v>103010</v>
      </c>
    </row>
    <row r="272" spans="1:7" s="67" customFormat="1" x14ac:dyDescent="0.3">
      <c r="A272" s="15" t="s">
        <v>191</v>
      </c>
      <c r="B272" s="16">
        <v>19663</v>
      </c>
      <c r="C272" s="16">
        <v>14892</v>
      </c>
      <c r="D272" s="16">
        <v>19471</v>
      </c>
      <c r="E272" s="16">
        <v>24066</v>
      </c>
      <c r="F272" s="16">
        <f>B272+C272+D272+E272</f>
        <v>78092</v>
      </c>
    </row>
    <row r="273" spans="1:6" s="67" customFormat="1" x14ac:dyDescent="0.3">
      <c r="A273" s="15" t="s">
        <v>215</v>
      </c>
      <c r="B273" s="16">
        <v>23016</v>
      </c>
      <c r="C273" s="16">
        <v>13546</v>
      </c>
      <c r="D273" s="16">
        <v>14979</v>
      </c>
      <c r="E273" s="16">
        <v>14584</v>
      </c>
      <c r="F273" s="16">
        <f>B273+C273+D273+E273</f>
        <v>66125</v>
      </c>
    </row>
    <row r="274" spans="1:6" s="67" customFormat="1" x14ac:dyDescent="0.3">
      <c r="A274" s="15" t="s">
        <v>193</v>
      </c>
      <c r="B274" s="16">
        <v>17617</v>
      </c>
      <c r="C274" s="16">
        <v>17487</v>
      </c>
      <c r="D274" s="16">
        <v>17837</v>
      </c>
      <c r="E274" s="16">
        <v>19149</v>
      </c>
      <c r="F274" s="16">
        <f>B274+C274+D274+E274</f>
        <v>72090</v>
      </c>
    </row>
    <row r="275" spans="1:6" s="67" customFormat="1" x14ac:dyDescent="0.3">
      <c r="A275" s="18" t="s">
        <v>65</v>
      </c>
      <c r="B275" s="20">
        <f>SUM(B270:B274)</f>
        <v>101386</v>
      </c>
      <c r="C275" s="20">
        <f>SUM(C270:C274)</f>
        <v>87947</v>
      </c>
      <c r="D275" s="20">
        <f>SUM(D270:D274)</f>
        <v>99764</v>
      </c>
      <c r="E275" s="20">
        <f>SUM(E270:E274)</f>
        <v>109620</v>
      </c>
      <c r="F275" s="20">
        <f>SUM(F270:F274)</f>
        <v>398717</v>
      </c>
    </row>
    <row r="276" spans="1:6" s="67" customFormat="1" x14ac:dyDescent="0.3">
      <c r="A276" s="69"/>
      <c r="B276" s="41"/>
      <c r="C276" s="41"/>
      <c r="D276" s="41"/>
      <c r="E276" s="41"/>
      <c r="F276" s="41"/>
    </row>
    <row r="277" spans="1:6" s="67" customFormat="1" x14ac:dyDescent="0.3">
      <c r="A277" s="12" t="s">
        <v>219</v>
      </c>
      <c r="B277" s="13" t="str">
        <f>B269</f>
        <v>Q1 FY 19</v>
      </c>
      <c r="C277" s="13" t="str">
        <f>C269</f>
        <v>Q2 FY 19</v>
      </c>
      <c r="D277" s="13" t="str">
        <f>D269</f>
        <v>Q3 FY 19</v>
      </c>
      <c r="E277" s="13" t="str">
        <f>E269</f>
        <v>Q4 FY 19</v>
      </c>
      <c r="F277" s="13" t="str">
        <f>F269</f>
        <v>YTD</v>
      </c>
    </row>
    <row r="278" spans="1:6" s="67" customFormat="1" x14ac:dyDescent="0.3">
      <c r="A278" s="15" t="s">
        <v>189</v>
      </c>
      <c r="B278" s="16">
        <f t="shared" ref="B278:F283" si="16">B262+B270</f>
        <v>26386</v>
      </c>
      <c r="C278" s="16">
        <f t="shared" si="16"/>
        <v>29679</v>
      </c>
      <c r="D278" s="16">
        <f t="shared" si="16"/>
        <v>26257</v>
      </c>
      <c r="E278" s="16">
        <f t="shared" si="16"/>
        <v>35593</v>
      </c>
      <c r="F278" s="16">
        <f t="shared" si="16"/>
        <v>117915</v>
      </c>
    </row>
    <row r="279" spans="1:6" s="67" customFormat="1" x14ac:dyDescent="0.3">
      <c r="A279" s="15" t="s">
        <v>190</v>
      </c>
      <c r="B279" s="16">
        <f t="shared" si="16"/>
        <v>30886</v>
      </c>
      <c r="C279" s="16">
        <f t="shared" si="16"/>
        <v>30293</v>
      </c>
      <c r="D279" s="16">
        <f t="shared" si="16"/>
        <v>39759</v>
      </c>
      <c r="E279" s="16">
        <f t="shared" si="16"/>
        <v>38840</v>
      </c>
      <c r="F279" s="16">
        <f t="shared" si="16"/>
        <v>139778</v>
      </c>
    </row>
    <row r="280" spans="1:6" s="67" customFormat="1" x14ac:dyDescent="0.3">
      <c r="A280" s="15" t="s">
        <v>191</v>
      </c>
      <c r="B280" s="16">
        <f t="shared" si="16"/>
        <v>31104</v>
      </c>
      <c r="C280" s="16">
        <f t="shared" si="16"/>
        <v>25485</v>
      </c>
      <c r="D280" s="16">
        <f t="shared" si="16"/>
        <v>33013</v>
      </c>
      <c r="E280" s="16">
        <f t="shared" si="16"/>
        <v>37964</v>
      </c>
      <c r="F280" s="16">
        <f t="shared" si="16"/>
        <v>127566</v>
      </c>
    </row>
    <row r="281" spans="1:6" s="67" customFormat="1" x14ac:dyDescent="0.3">
      <c r="A281" s="15" t="s">
        <v>215</v>
      </c>
      <c r="B281" s="16">
        <f t="shared" si="16"/>
        <v>34358</v>
      </c>
      <c r="C281" s="16">
        <f t="shared" si="16"/>
        <v>21096</v>
      </c>
      <c r="D281" s="16">
        <f t="shared" si="16"/>
        <v>22066</v>
      </c>
      <c r="E281" s="16">
        <f t="shared" si="16"/>
        <v>21402</v>
      </c>
      <c r="F281" s="16">
        <f t="shared" si="16"/>
        <v>98922</v>
      </c>
    </row>
    <row r="282" spans="1:6" s="67" customFormat="1" x14ac:dyDescent="0.3">
      <c r="A282" s="15" t="s">
        <v>193</v>
      </c>
      <c r="B282" s="16">
        <f t="shared" si="16"/>
        <v>22776</v>
      </c>
      <c r="C282" s="16">
        <f t="shared" si="16"/>
        <v>23334</v>
      </c>
      <c r="D282" s="16">
        <f t="shared" si="16"/>
        <v>23507</v>
      </c>
      <c r="E282" s="16">
        <f t="shared" si="16"/>
        <v>25117</v>
      </c>
      <c r="F282" s="16">
        <f t="shared" si="16"/>
        <v>94734</v>
      </c>
    </row>
    <row r="283" spans="1:6" s="67" customFormat="1" x14ac:dyDescent="0.3">
      <c r="A283" s="18" t="s">
        <v>196</v>
      </c>
      <c r="B283" s="20">
        <f t="shared" si="16"/>
        <v>145510</v>
      </c>
      <c r="C283" s="20">
        <f t="shared" si="16"/>
        <v>129887</v>
      </c>
      <c r="D283" s="20">
        <f t="shared" si="16"/>
        <v>144602</v>
      </c>
      <c r="E283" s="20">
        <f t="shared" si="16"/>
        <v>158916</v>
      </c>
      <c r="F283" s="20">
        <f t="shared" si="16"/>
        <v>578915</v>
      </c>
    </row>
    <row r="284" spans="1:6" s="67" customFormat="1" x14ac:dyDescent="0.3">
      <c r="A284" s="73"/>
      <c r="B284" s="95"/>
      <c r="C284" s="95"/>
      <c r="D284" s="95"/>
      <c r="E284" s="95"/>
      <c r="F284" s="95"/>
    </row>
    <row r="285" spans="1:6" s="67" customFormat="1" x14ac:dyDescent="0.3">
      <c r="A285" s="86" t="s">
        <v>199</v>
      </c>
      <c r="B285" s="97">
        <v>21181</v>
      </c>
      <c r="C285" s="97">
        <v>12531</v>
      </c>
      <c r="D285" s="97">
        <v>12669</v>
      </c>
      <c r="E285" s="97">
        <v>11197</v>
      </c>
      <c r="F285" s="97">
        <f>SUM(B285:E285)</f>
        <v>57578</v>
      </c>
    </row>
    <row r="286" spans="1:6" s="67" customFormat="1" x14ac:dyDescent="0.3">
      <c r="A286" s="73"/>
      <c r="B286" s="95"/>
      <c r="C286" s="95"/>
      <c r="D286" s="95"/>
      <c r="E286" s="95"/>
      <c r="F286" s="95"/>
    </row>
    <row r="287" spans="1:6" s="99" customFormat="1" ht="6" customHeight="1" x14ac:dyDescent="0.3">
      <c r="A287" s="75"/>
      <c r="B287" s="98"/>
      <c r="C287" s="98"/>
      <c r="D287" s="98"/>
      <c r="E287" s="98"/>
      <c r="F287" s="98"/>
    </row>
    <row r="288" spans="1:6" x14ac:dyDescent="0.3">
      <c r="A288" s="9" t="s">
        <v>217</v>
      </c>
      <c r="B288" s="52"/>
      <c r="C288" s="52"/>
      <c r="D288" s="52"/>
    </row>
    <row r="289" spans="1:6" x14ac:dyDescent="0.3">
      <c r="A289" s="66"/>
      <c r="B289" s="52"/>
      <c r="C289" s="52"/>
      <c r="D289" s="52"/>
    </row>
    <row r="290" spans="1:6" s="67" customFormat="1" x14ac:dyDescent="0.3">
      <c r="A290" s="11" t="s">
        <v>102</v>
      </c>
      <c r="B290" s="41"/>
      <c r="C290" s="41"/>
      <c r="D290" s="41"/>
      <c r="E290" s="52"/>
      <c r="F290" s="52"/>
    </row>
    <row r="291" spans="1:6" s="67" customFormat="1" x14ac:dyDescent="0.3">
      <c r="A291" s="29"/>
      <c r="B291" s="41"/>
      <c r="C291" s="41"/>
      <c r="D291" s="41"/>
      <c r="E291" s="52"/>
      <c r="F291" s="52"/>
    </row>
    <row r="292" spans="1:6" s="67" customFormat="1" x14ac:dyDescent="0.3">
      <c r="A292" s="12" t="s">
        <v>169</v>
      </c>
      <c r="B292" s="13" t="s">
        <v>103</v>
      </c>
      <c r="C292" s="13" t="s">
        <v>104</v>
      </c>
      <c r="D292" s="13" t="s">
        <v>105</v>
      </c>
      <c r="E292" s="13" t="s">
        <v>106</v>
      </c>
      <c r="F292" s="13" t="s">
        <v>20</v>
      </c>
    </row>
    <row r="293" spans="1:6" s="67" customFormat="1" x14ac:dyDescent="0.3">
      <c r="A293" s="15" t="s">
        <v>189</v>
      </c>
      <c r="B293" s="16">
        <v>7229</v>
      </c>
      <c r="C293" s="16">
        <v>8648</v>
      </c>
      <c r="D293" s="16">
        <v>6498</v>
      </c>
      <c r="E293" s="16">
        <v>9703</v>
      </c>
      <c r="F293" s="16">
        <f>B293+C293+D293+E293</f>
        <v>32078</v>
      </c>
    </row>
    <row r="294" spans="1:6" s="67" customFormat="1" x14ac:dyDescent="0.3">
      <c r="A294" s="15" t="s">
        <v>190</v>
      </c>
      <c r="B294" s="16">
        <v>10431</v>
      </c>
      <c r="C294" s="16">
        <v>10761</v>
      </c>
      <c r="D294" s="16">
        <v>10330</v>
      </c>
      <c r="E294" s="16">
        <v>9333</v>
      </c>
      <c r="F294" s="16">
        <f>B294+C294+D294+E294</f>
        <v>40855</v>
      </c>
    </row>
    <row r="295" spans="1:6" s="67" customFormat="1" x14ac:dyDescent="0.3">
      <c r="A295" s="15" t="s">
        <v>191</v>
      </c>
      <c r="B295" s="16">
        <v>8569</v>
      </c>
      <c r="C295" s="16">
        <v>6671</v>
      </c>
      <c r="D295" s="16">
        <v>8151</v>
      </c>
      <c r="E295" s="16">
        <v>12857</v>
      </c>
      <c r="F295" s="16">
        <f>B295+C295+D295+E295</f>
        <v>36248</v>
      </c>
    </row>
    <row r="296" spans="1:6" s="67" customFormat="1" x14ac:dyDescent="0.3">
      <c r="A296" s="15" t="s">
        <v>215</v>
      </c>
      <c r="B296" s="16">
        <v>10327</v>
      </c>
      <c r="C296" s="16">
        <v>11552</v>
      </c>
      <c r="D296" s="16">
        <v>11330</v>
      </c>
      <c r="E296" s="16">
        <v>11496</v>
      </c>
      <c r="F296" s="16">
        <f>B296+C296+D296+E296</f>
        <v>44705</v>
      </c>
    </row>
    <row r="297" spans="1:6" s="67" customFormat="1" x14ac:dyDescent="0.3">
      <c r="A297" s="15" t="s">
        <v>193</v>
      </c>
      <c r="B297" s="16">
        <v>4710</v>
      </c>
      <c r="C297" s="16">
        <v>4628</v>
      </c>
      <c r="D297" s="16">
        <v>4794</v>
      </c>
      <c r="E297" s="16">
        <v>6542</v>
      </c>
      <c r="F297" s="16">
        <f>B297+C297+D297+E297</f>
        <v>20674</v>
      </c>
    </row>
    <row r="298" spans="1:6" s="67" customFormat="1" x14ac:dyDescent="0.3">
      <c r="A298" s="18" t="s">
        <v>41</v>
      </c>
      <c r="B298" s="20">
        <f>SUM(B293:B297)</f>
        <v>41266</v>
      </c>
      <c r="C298" s="20">
        <f>SUM(C293:C297)</f>
        <v>42260</v>
      </c>
      <c r="D298" s="20">
        <f>SUM(D293:D297)</f>
        <v>41103</v>
      </c>
      <c r="E298" s="20">
        <f>SUM(E293:E297)</f>
        <v>49931</v>
      </c>
      <c r="F298" s="20">
        <f>SUM(F293:F297)</f>
        <v>174560</v>
      </c>
    </row>
    <row r="299" spans="1:6" s="67" customFormat="1" x14ac:dyDescent="0.3">
      <c r="A299" s="69"/>
      <c r="B299" s="41"/>
      <c r="C299" s="41"/>
      <c r="D299" s="41"/>
      <c r="E299" s="41"/>
      <c r="F299" s="41"/>
    </row>
    <row r="300" spans="1:6" s="67" customFormat="1" x14ac:dyDescent="0.3">
      <c r="A300" s="12" t="s">
        <v>172</v>
      </c>
      <c r="B300" s="13" t="str">
        <f>B292</f>
        <v>Q1 FY 18</v>
      </c>
      <c r="C300" s="13" t="str">
        <f>C292</f>
        <v>Q2 FY 18</v>
      </c>
      <c r="D300" s="13" t="str">
        <f>D292</f>
        <v>Q3 FY 18</v>
      </c>
      <c r="E300" s="13" t="str">
        <f>E292</f>
        <v>Q4 FY 18</v>
      </c>
      <c r="F300" s="13" t="str">
        <f>F292</f>
        <v>YTD</v>
      </c>
    </row>
    <row r="301" spans="1:6" s="67" customFormat="1" x14ac:dyDescent="0.3">
      <c r="A301" s="15" t="s">
        <v>189</v>
      </c>
      <c r="B301" s="16">
        <v>15854</v>
      </c>
      <c r="C301" s="16">
        <v>21212</v>
      </c>
      <c r="D301" s="16">
        <v>15679</v>
      </c>
      <c r="E301" s="16">
        <v>23936</v>
      </c>
      <c r="F301" s="16">
        <f>B301+C301+D301+E301</f>
        <v>76681</v>
      </c>
    </row>
    <row r="302" spans="1:6" s="67" customFormat="1" x14ac:dyDescent="0.3">
      <c r="A302" s="15" t="s">
        <v>190</v>
      </c>
      <c r="B302" s="16">
        <v>17962</v>
      </c>
      <c r="C302" s="16">
        <v>21004</v>
      </c>
      <c r="D302" s="16">
        <v>22506</v>
      </c>
      <c r="E302" s="16">
        <v>26992</v>
      </c>
      <c r="F302" s="16">
        <f>B302+C302+D302+E302</f>
        <v>88464</v>
      </c>
    </row>
    <row r="303" spans="1:6" s="67" customFormat="1" x14ac:dyDescent="0.3">
      <c r="A303" s="15" t="s">
        <v>191</v>
      </c>
      <c r="B303" s="16">
        <v>24967</v>
      </c>
      <c r="C303" s="16">
        <v>22257</v>
      </c>
      <c r="D303" s="16">
        <v>24765</v>
      </c>
      <c r="E303" s="16">
        <v>25355</v>
      </c>
      <c r="F303" s="16">
        <f>B303+C303+D303+E303</f>
        <v>97344</v>
      </c>
    </row>
    <row r="304" spans="1:6" s="67" customFormat="1" x14ac:dyDescent="0.3">
      <c r="A304" s="15" t="s">
        <v>215</v>
      </c>
      <c r="B304" s="16">
        <v>23187</v>
      </c>
      <c r="C304" s="16">
        <v>26012</v>
      </c>
      <c r="D304" s="16">
        <v>30402</v>
      </c>
      <c r="E304" s="16">
        <v>25810</v>
      </c>
      <c r="F304" s="16">
        <f>B304+C304+D304+E304</f>
        <v>105411</v>
      </c>
    </row>
    <row r="305" spans="1:6" s="67" customFormat="1" x14ac:dyDescent="0.3">
      <c r="A305" s="15" t="s">
        <v>193</v>
      </c>
      <c r="B305" s="16">
        <v>14227</v>
      </c>
      <c r="C305" s="16">
        <v>16945</v>
      </c>
      <c r="D305" s="16">
        <v>19992</v>
      </c>
      <c r="E305" s="16">
        <v>20685</v>
      </c>
      <c r="F305" s="16">
        <f>B305+C305+D305+E305</f>
        <v>71849</v>
      </c>
    </row>
    <row r="306" spans="1:6" s="67" customFormat="1" x14ac:dyDescent="0.3">
      <c r="A306" s="18" t="s">
        <v>65</v>
      </c>
      <c r="B306" s="20">
        <f>SUM(B301:B305)</f>
        <v>96197</v>
      </c>
      <c r="C306" s="20">
        <f>SUM(C301:C305)</f>
        <v>107430</v>
      </c>
      <c r="D306" s="20">
        <f>SUM(D301:D305)</f>
        <v>113344</v>
      </c>
      <c r="E306" s="20">
        <f>SUM(E301:E305)</f>
        <v>122778</v>
      </c>
      <c r="F306" s="20">
        <f>SUM(F301:F305)</f>
        <v>439749</v>
      </c>
    </row>
    <row r="307" spans="1:6" s="67" customFormat="1" x14ac:dyDescent="0.3">
      <c r="A307" s="69"/>
      <c r="B307" s="41"/>
      <c r="C307" s="41"/>
      <c r="D307" s="41"/>
      <c r="E307" s="41"/>
      <c r="F307" s="41"/>
    </row>
    <row r="308" spans="1:6" s="67" customFormat="1" x14ac:dyDescent="0.3">
      <c r="A308" s="12" t="s">
        <v>219</v>
      </c>
      <c r="B308" s="13" t="str">
        <f>B300</f>
        <v>Q1 FY 18</v>
      </c>
      <c r="C308" s="13" t="str">
        <f>C300</f>
        <v>Q2 FY 18</v>
      </c>
      <c r="D308" s="13" t="str">
        <f>D300</f>
        <v>Q3 FY 18</v>
      </c>
      <c r="E308" s="13" t="str">
        <f>E300</f>
        <v>Q4 FY 18</v>
      </c>
      <c r="F308" s="13" t="str">
        <f>F300</f>
        <v>YTD</v>
      </c>
    </row>
    <row r="309" spans="1:6" s="67" customFormat="1" x14ac:dyDescent="0.3">
      <c r="A309" s="15" t="s">
        <v>189</v>
      </c>
      <c r="B309" s="16">
        <f t="shared" ref="B309:F314" si="17">B293+B301</f>
        <v>23083</v>
      </c>
      <c r="C309" s="16">
        <f t="shared" si="17"/>
        <v>29860</v>
      </c>
      <c r="D309" s="16">
        <f t="shared" si="17"/>
        <v>22177</v>
      </c>
      <c r="E309" s="16">
        <f t="shared" si="17"/>
        <v>33639</v>
      </c>
      <c r="F309" s="16">
        <f t="shared" si="17"/>
        <v>108759</v>
      </c>
    </row>
    <row r="310" spans="1:6" s="67" customFormat="1" x14ac:dyDescent="0.3">
      <c r="A310" s="15" t="s">
        <v>190</v>
      </c>
      <c r="B310" s="16">
        <f t="shared" si="17"/>
        <v>28393</v>
      </c>
      <c r="C310" s="16">
        <f t="shared" si="17"/>
        <v>31765</v>
      </c>
      <c r="D310" s="16">
        <f t="shared" si="17"/>
        <v>32836</v>
      </c>
      <c r="E310" s="16">
        <f t="shared" si="17"/>
        <v>36325</v>
      </c>
      <c r="F310" s="16">
        <f t="shared" si="17"/>
        <v>129319</v>
      </c>
    </row>
    <row r="311" spans="1:6" s="67" customFormat="1" x14ac:dyDescent="0.3">
      <c r="A311" s="15" t="s">
        <v>191</v>
      </c>
      <c r="B311" s="16">
        <f t="shared" si="17"/>
        <v>33536</v>
      </c>
      <c r="C311" s="16">
        <f t="shared" si="17"/>
        <v>28928</v>
      </c>
      <c r="D311" s="16">
        <f t="shared" si="17"/>
        <v>32916</v>
      </c>
      <c r="E311" s="16">
        <f t="shared" si="17"/>
        <v>38212</v>
      </c>
      <c r="F311" s="16">
        <f t="shared" si="17"/>
        <v>133592</v>
      </c>
    </row>
    <row r="312" spans="1:6" s="67" customFormat="1" x14ac:dyDescent="0.3">
      <c r="A312" s="15" t="s">
        <v>215</v>
      </c>
      <c r="B312" s="16">
        <f t="shared" si="17"/>
        <v>33514</v>
      </c>
      <c r="C312" s="16">
        <f t="shared" si="17"/>
        <v>37564</v>
      </c>
      <c r="D312" s="16">
        <f t="shared" si="17"/>
        <v>41732</v>
      </c>
      <c r="E312" s="16">
        <f t="shared" si="17"/>
        <v>37306</v>
      </c>
      <c r="F312" s="16">
        <f t="shared" si="17"/>
        <v>150116</v>
      </c>
    </row>
    <row r="313" spans="1:6" s="67" customFormat="1" x14ac:dyDescent="0.3">
      <c r="A313" s="15" t="s">
        <v>193</v>
      </c>
      <c r="B313" s="16">
        <f t="shared" si="17"/>
        <v>18937</v>
      </c>
      <c r="C313" s="16">
        <f t="shared" si="17"/>
        <v>21573</v>
      </c>
      <c r="D313" s="16">
        <f t="shared" si="17"/>
        <v>24786</v>
      </c>
      <c r="E313" s="16">
        <f t="shared" si="17"/>
        <v>27227</v>
      </c>
      <c r="F313" s="16">
        <f t="shared" si="17"/>
        <v>92523</v>
      </c>
    </row>
    <row r="314" spans="1:6" s="67" customFormat="1" x14ac:dyDescent="0.3">
      <c r="A314" s="18" t="s">
        <v>196</v>
      </c>
      <c r="B314" s="20">
        <f t="shared" si="17"/>
        <v>137463</v>
      </c>
      <c r="C314" s="20">
        <f t="shared" si="17"/>
        <v>149690</v>
      </c>
      <c r="D314" s="20">
        <f t="shared" si="17"/>
        <v>154447</v>
      </c>
      <c r="E314" s="20">
        <f t="shared" si="17"/>
        <v>172709</v>
      </c>
      <c r="F314" s="20">
        <f t="shared" si="17"/>
        <v>614309</v>
      </c>
    </row>
    <row r="315" spans="1:6" s="67" customFormat="1" x14ac:dyDescent="0.3">
      <c r="A315" s="73"/>
      <c r="B315" s="95"/>
      <c r="C315" s="95"/>
      <c r="D315" s="95"/>
      <c r="E315" s="95"/>
      <c r="F315" s="95"/>
    </row>
    <row r="316" spans="1:6" s="67" customFormat="1" x14ac:dyDescent="0.3">
      <c r="A316" s="86" t="s">
        <v>199</v>
      </c>
      <c r="B316" s="97">
        <v>20309</v>
      </c>
      <c r="C316" s="97">
        <v>21728</v>
      </c>
      <c r="D316" s="97">
        <v>23388</v>
      </c>
      <c r="E316" s="97">
        <v>22349</v>
      </c>
      <c r="F316" s="97">
        <f>SUM(B316:E316)</f>
        <v>87774</v>
      </c>
    </row>
    <row r="317" spans="1:6" s="67" customFormat="1" x14ac:dyDescent="0.3">
      <c r="A317" s="73"/>
      <c r="B317" s="95"/>
      <c r="C317" s="95"/>
      <c r="D317" s="95"/>
      <c r="E317" s="95"/>
      <c r="F317" s="95"/>
    </row>
    <row r="318" spans="1:6" s="99" customFormat="1" ht="6" customHeight="1" x14ac:dyDescent="0.3">
      <c r="A318" s="75"/>
      <c r="B318" s="98"/>
      <c r="C318" s="98"/>
      <c r="D318" s="98"/>
      <c r="E318" s="98"/>
      <c r="F318" s="98"/>
    </row>
    <row r="319" spans="1:6" s="67" customFormat="1" x14ac:dyDescent="0.3">
      <c r="A319" s="45"/>
    </row>
    <row r="320" spans="1:6" s="67" customFormat="1" x14ac:dyDescent="0.3">
      <c r="A320" s="11" t="s">
        <v>109</v>
      </c>
      <c r="B320" s="41"/>
      <c r="C320" s="41"/>
      <c r="D320" s="41"/>
      <c r="E320" s="52"/>
      <c r="F320" s="52"/>
    </row>
    <row r="321" spans="1:6" s="67" customFormat="1" x14ac:dyDescent="0.3">
      <c r="A321" s="29"/>
      <c r="B321" s="41"/>
      <c r="C321" s="41"/>
      <c r="D321" s="41"/>
      <c r="E321" s="52"/>
      <c r="F321" s="52"/>
    </row>
    <row r="322" spans="1:6" s="67" customFormat="1" x14ac:dyDescent="0.3">
      <c r="A322" s="12" t="s">
        <v>169</v>
      </c>
      <c r="B322" s="13" t="s">
        <v>110</v>
      </c>
      <c r="C322" s="13" t="s">
        <v>111</v>
      </c>
      <c r="D322" s="13" t="s">
        <v>112</v>
      </c>
      <c r="E322" s="13" t="s">
        <v>113</v>
      </c>
      <c r="F322" s="13" t="s">
        <v>20</v>
      </c>
    </row>
    <row r="323" spans="1:6" s="67" customFormat="1" x14ac:dyDescent="0.3">
      <c r="A323" s="15" t="s">
        <v>189</v>
      </c>
      <c r="B323" s="16">
        <v>7898</v>
      </c>
      <c r="C323" s="16">
        <v>9780</v>
      </c>
      <c r="D323" s="16">
        <v>8367</v>
      </c>
      <c r="E323" s="16">
        <v>13087</v>
      </c>
      <c r="F323" s="16">
        <f>B323+C323+D323+E323</f>
        <v>39132</v>
      </c>
    </row>
    <row r="324" spans="1:6" s="67" customFormat="1" x14ac:dyDescent="0.3">
      <c r="A324" s="15" t="s">
        <v>190</v>
      </c>
      <c r="B324" s="16">
        <v>6641</v>
      </c>
      <c r="C324" s="16">
        <v>10361</v>
      </c>
      <c r="D324" s="16">
        <v>11885</v>
      </c>
      <c r="E324" s="16">
        <v>12691</v>
      </c>
      <c r="F324" s="16">
        <f>B324+C324+D324+E324</f>
        <v>41578</v>
      </c>
    </row>
    <row r="325" spans="1:6" s="67" customFormat="1" x14ac:dyDescent="0.3">
      <c r="A325" s="15" t="s">
        <v>191</v>
      </c>
      <c r="B325" s="16">
        <v>9370</v>
      </c>
      <c r="C325" s="16">
        <v>9278</v>
      </c>
      <c r="D325" s="16">
        <v>9720</v>
      </c>
      <c r="E325" s="16">
        <v>11964</v>
      </c>
      <c r="F325" s="16">
        <f>B325+C325+D325+E325</f>
        <v>40332</v>
      </c>
    </row>
    <row r="326" spans="1:6" s="67" customFormat="1" x14ac:dyDescent="0.3">
      <c r="A326" s="15" t="s">
        <v>215</v>
      </c>
      <c r="B326" s="16">
        <v>3532</v>
      </c>
      <c r="C326" s="16">
        <v>6683</v>
      </c>
      <c r="D326" s="16">
        <v>9685</v>
      </c>
      <c r="E326" s="16">
        <v>9451</v>
      </c>
      <c r="F326" s="16">
        <f>B326+C326+D326+E326</f>
        <v>29351</v>
      </c>
    </row>
    <row r="327" spans="1:6" s="67" customFormat="1" x14ac:dyDescent="0.3">
      <c r="A327" s="15" t="s">
        <v>209</v>
      </c>
      <c r="B327" s="16">
        <v>4365</v>
      </c>
      <c r="C327" s="16">
        <v>5604</v>
      </c>
      <c r="D327" s="16">
        <v>5707</v>
      </c>
      <c r="E327" s="16">
        <v>6779</v>
      </c>
      <c r="F327" s="16">
        <f>B327+C327+D327+E327</f>
        <v>22455</v>
      </c>
    </row>
    <row r="328" spans="1:6" s="67" customFormat="1" x14ac:dyDescent="0.3">
      <c r="A328" s="18" t="s">
        <v>41</v>
      </c>
      <c r="B328" s="20">
        <f>SUM(B323:B327)</f>
        <v>31806</v>
      </c>
      <c r="C328" s="20">
        <f>SUM(C323:C327)</f>
        <v>41706</v>
      </c>
      <c r="D328" s="20">
        <f>SUM(D323:D327)</f>
        <v>45364</v>
      </c>
      <c r="E328" s="20">
        <f>SUM(E323:E327)</f>
        <v>53972</v>
      </c>
      <c r="F328" s="20">
        <f>SUM(F323:F327)</f>
        <v>172848</v>
      </c>
    </row>
    <row r="329" spans="1:6" s="67" customFormat="1" x14ac:dyDescent="0.3">
      <c r="A329" s="69"/>
      <c r="B329" s="41"/>
      <c r="C329" s="41"/>
      <c r="D329" s="41"/>
      <c r="E329" s="41"/>
      <c r="F329" s="41"/>
    </row>
    <row r="330" spans="1:6" s="67" customFormat="1" x14ac:dyDescent="0.3">
      <c r="A330" s="12" t="s">
        <v>172</v>
      </c>
      <c r="B330" s="13" t="str">
        <f>B322</f>
        <v>Q1 FY 17</v>
      </c>
      <c r="C330" s="13" t="str">
        <f>C322</f>
        <v>Q2 FY 17</v>
      </c>
      <c r="D330" s="13" t="str">
        <f>D322</f>
        <v>Q3 FY 17</v>
      </c>
      <c r="E330" s="13" t="str">
        <f>E322</f>
        <v>Q4 FY 17</v>
      </c>
      <c r="F330" s="13" t="str">
        <f>F322</f>
        <v>YTD</v>
      </c>
    </row>
    <row r="331" spans="1:6" s="67" customFormat="1" x14ac:dyDescent="0.3">
      <c r="A331" s="15" t="s">
        <v>189</v>
      </c>
      <c r="B331" s="16">
        <v>19021</v>
      </c>
      <c r="C331" s="16">
        <v>21201</v>
      </c>
      <c r="D331" s="16">
        <v>15860</v>
      </c>
      <c r="E331" s="16">
        <v>29541</v>
      </c>
      <c r="F331" s="16">
        <f>B331+C331+D331+E331</f>
        <v>85623</v>
      </c>
    </row>
    <row r="332" spans="1:6" s="67" customFormat="1" x14ac:dyDescent="0.3">
      <c r="A332" s="15" t="s">
        <v>190</v>
      </c>
      <c r="B332" s="16">
        <v>17925</v>
      </c>
      <c r="C332" s="16">
        <v>19867</v>
      </c>
      <c r="D332" s="16">
        <v>21745</v>
      </c>
      <c r="E332" s="16">
        <v>22412</v>
      </c>
      <c r="F332" s="16">
        <f>B332+C332+D332+E332</f>
        <v>81949</v>
      </c>
    </row>
    <row r="333" spans="1:6" s="67" customFormat="1" x14ac:dyDescent="0.3">
      <c r="A333" s="15" t="s">
        <v>191</v>
      </c>
      <c r="B333" s="16">
        <v>24181</v>
      </c>
      <c r="C333" s="16">
        <v>20891</v>
      </c>
      <c r="D333" s="16">
        <v>24340</v>
      </c>
      <c r="E333" s="16">
        <v>31299</v>
      </c>
      <c r="F333" s="16">
        <f>B333+C333+D333+E333</f>
        <v>100711</v>
      </c>
    </row>
    <row r="334" spans="1:6" s="67" customFormat="1" x14ac:dyDescent="0.3">
      <c r="A334" s="15" t="s">
        <v>215</v>
      </c>
      <c r="B334" s="16">
        <v>22194</v>
      </c>
      <c r="C334" s="16">
        <v>22801</v>
      </c>
      <c r="D334" s="16">
        <v>26723</v>
      </c>
      <c r="E334" s="16">
        <v>24138</v>
      </c>
      <c r="F334" s="16">
        <f>B334+C334+D334+E334</f>
        <v>95856</v>
      </c>
    </row>
    <row r="335" spans="1:6" s="67" customFormat="1" x14ac:dyDescent="0.3">
      <c r="A335" s="15" t="s">
        <v>209</v>
      </c>
      <c r="B335" s="16">
        <v>17626</v>
      </c>
      <c r="C335" s="16">
        <v>15993</v>
      </c>
      <c r="D335" s="16">
        <v>15256</v>
      </c>
      <c r="E335" s="16">
        <v>18147</v>
      </c>
      <c r="F335" s="16">
        <f>B335+C335+D335+E335</f>
        <v>67022</v>
      </c>
    </row>
    <row r="336" spans="1:6" s="67" customFormat="1" x14ac:dyDescent="0.3">
      <c r="A336" s="18" t="s">
        <v>65</v>
      </c>
      <c r="B336" s="20">
        <f>SUM(B331:B335)</f>
        <v>100947</v>
      </c>
      <c r="C336" s="20">
        <f>SUM(C331:C335)</f>
        <v>100753</v>
      </c>
      <c r="D336" s="20">
        <f>SUM(D331:D335)</f>
        <v>103924</v>
      </c>
      <c r="E336" s="20">
        <f>SUM(E331:E335)</f>
        <v>125537</v>
      </c>
      <c r="F336" s="20">
        <f>SUM(F331:F335)</f>
        <v>431161</v>
      </c>
    </row>
    <row r="337" spans="1:6" s="67" customFormat="1" x14ac:dyDescent="0.3">
      <c r="A337" s="69"/>
      <c r="B337" s="41"/>
      <c r="C337" s="41"/>
      <c r="D337" s="41"/>
      <c r="E337" s="41"/>
      <c r="F337" s="41"/>
    </row>
    <row r="338" spans="1:6" s="67" customFormat="1" x14ac:dyDescent="0.3">
      <c r="A338" s="12" t="s">
        <v>219</v>
      </c>
      <c r="B338" s="13" t="str">
        <f>B330</f>
        <v>Q1 FY 17</v>
      </c>
      <c r="C338" s="13" t="str">
        <f>C330</f>
        <v>Q2 FY 17</v>
      </c>
      <c r="D338" s="13" t="str">
        <f>D330</f>
        <v>Q3 FY 17</v>
      </c>
      <c r="E338" s="13" t="str">
        <f>E330</f>
        <v>Q4 FY 17</v>
      </c>
      <c r="F338" s="13" t="str">
        <f>F330</f>
        <v>YTD</v>
      </c>
    </row>
    <row r="339" spans="1:6" s="67" customFormat="1" x14ac:dyDescent="0.3">
      <c r="A339" s="15" t="s">
        <v>189</v>
      </c>
      <c r="B339" s="16">
        <f t="shared" ref="B339:F344" si="18">B323+B331</f>
        <v>26919</v>
      </c>
      <c r="C339" s="16">
        <f t="shared" si="18"/>
        <v>30981</v>
      </c>
      <c r="D339" s="16">
        <f t="shared" si="18"/>
        <v>24227</v>
      </c>
      <c r="E339" s="16">
        <f t="shared" si="18"/>
        <v>42628</v>
      </c>
      <c r="F339" s="16">
        <f t="shared" si="18"/>
        <v>124755</v>
      </c>
    </row>
    <row r="340" spans="1:6" s="67" customFormat="1" x14ac:dyDescent="0.3">
      <c r="A340" s="15" t="s">
        <v>190</v>
      </c>
      <c r="B340" s="16">
        <f t="shared" si="18"/>
        <v>24566</v>
      </c>
      <c r="C340" s="16">
        <f t="shared" si="18"/>
        <v>30228</v>
      </c>
      <c r="D340" s="16">
        <f t="shared" si="18"/>
        <v>33630</v>
      </c>
      <c r="E340" s="16">
        <f t="shared" si="18"/>
        <v>35103</v>
      </c>
      <c r="F340" s="16">
        <f t="shared" si="18"/>
        <v>123527</v>
      </c>
    </row>
    <row r="341" spans="1:6" s="67" customFormat="1" x14ac:dyDescent="0.3">
      <c r="A341" s="15" t="s">
        <v>191</v>
      </c>
      <c r="B341" s="16">
        <f t="shared" si="18"/>
        <v>33551</v>
      </c>
      <c r="C341" s="16">
        <f t="shared" si="18"/>
        <v>30169</v>
      </c>
      <c r="D341" s="16">
        <f t="shared" si="18"/>
        <v>34060</v>
      </c>
      <c r="E341" s="16">
        <f t="shared" si="18"/>
        <v>43263</v>
      </c>
      <c r="F341" s="16">
        <f t="shared" si="18"/>
        <v>141043</v>
      </c>
    </row>
    <row r="342" spans="1:6" s="67" customFormat="1" x14ac:dyDescent="0.3">
      <c r="A342" s="15" t="s">
        <v>215</v>
      </c>
      <c r="B342" s="16">
        <f t="shared" si="18"/>
        <v>25726</v>
      </c>
      <c r="C342" s="16">
        <f t="shared" si="18"/>
        <v>29484</v>
      </c>
      <c r="D342" s="16">
        <f t="shared" si="18"/>
        <v>36408</v>
      </c>
      <c r="E342" s="16">
        <f t="shared" si="18"/>
        <v>33589</v>
      </c>
      <c r="F342" s="16">
        <f t="shared" si="18"/>
        <v>125207</v>
      </c>
    </row>
    <row r="343" spans="1:6" s="67" customFormat="1" x14ac:dyDescent="0.3">
      <c r="A343" s="15" t="s">
        <v>209</v>
      </c>
      <c r="B343" s="16">
        <f t="shared" si="18"/>
        <v>21991</v>
      </c>
      <c r="C343" s="16">
        <f t="shared" si="18"/>
        <v>21597</v>
      </c>
      <c r="D343" s="16">
        <f t="shared" si="18"/>
        <v>20963</v>
      </c>
      <c r="E343" s="16">
        <f t="shared" si="18"/>
        <v>24926</v>
      </c>
      <c r="F343" s="16">
        <f t="shared" si="18"/>
        <v>89477</v>
      </c>
    </row>
    <row r="344" spans="1:6" s="67" customFormat="1" x14ac:dyDescent="0.3">
      <c r="A344" s="18" t="s">
        <v>196</v>
      </c>
      <c r="B344" s="20">
        <f t="shared" si="18"/>
        <v>132753</v>
      </c>
      <c r="C344" s="20">
        <f t="shared" si="18"/>
        <v>142459</v>
      </c>
      <c r="D344" s="20">
        <f t="shared" si="18"/>
        <v>149288</v>
      </c>
      <c r="E344" s="20">
        <f t="shared" si="18"/>
        <v>179509</v>
      </c>
      <c r="F344" s="20">
        <f t="shared" si="18"/>
        <v>604009</v>
      </c>
    </row>
    <row r="345" spans="1:6" s="67" customFormat="1" x14ac:dyDescent="0.3">
      <c r="A345" s="73"/>
      <c r="B345" s="95"/>
      <c r="C345" s="95"/>
      <c r="D345" s="95"/>
      <c r="E345" s="95"/>
      <c r="F345" s="95"/>
    </row>
    <row r="346" spans="1:6" s="67" customFormat="1" x14ac:dyDescent="0.3">
      <c r="A346" s="86" t="s">
        <v>199</v>
      </c>
      <c r="B346" s="97">
        <v>14039</v>
      </c>
      <c r="C346" s="97">
        <v>13492</v>
      </c>
      <c r="D346" s="97">
        <v>19395</v>
      </c>
      <c r="E346" s="97">
        <v>18097</v>
      </c>
      <c r="F346" s="97">
        <f>SUM(B346:E346)</f>
        <v>65023</v>
      </c>
    </row>
    <row r="347" spans="1:6" s="67" customFormat="1" x14ac:dyDescent="0.3">
      <c r="A347" s="89"/>
      <c r="B347" s="41"/>
      <c r="C347" s="41"/>
      <c r="D347" s="41"/>
      <c r="E347" s="52"/>
      <c r="F347" s="52"/>
    </row>
    <row r="348" spans="1:6" s="99" customFormat="1" ht="6" customHeight="1" x14ac:dyDescent="0.3">
      <c r="A348" s="88"/>
      <c r="B348" s="88"/>
      <c r="C348" s="91"/>
      <c r="D348" s="91"/>
      <c r="E348" s="28"/>
      <c r="F348" s="28"/>
    </row>
    <row r="349" spans="1:6" x14ac:dyDescent="0.3">
      <c r="A349" s="89"/>
    </row>
    <row r="350" spans="1:6" x14ac:dyDescent="0.3">
      <c r="A350" s="11" t="s">
        <v>115</v>
      </c>
    </row>
    <row r="351" spans="1:6" x14ac:dyDescent="0.3">
      <c r="A351" s="29"/>
    </row>
    <row r="352" spans="1:6" x14ac:dyDescent="0.3">
      <c r="A352" s="12" t="s">
        <v>169</v>
      </c>
      <c r="B352" s="13" t="s">
        <v>116</v>
      </c>
      <c r="C352" s="13" t="s">
        <v>117</v>
      </c>
      <c r="D352" s="13" t="s">
        <v>118</v>
      </c>
      <c r="E352" s="13" t="s">
        <v>119</v>
      </c>
      <c r="F352" s="13" t="s">
        <v>20</v>
      </c>
    </row>
    <row r="353" spans="1:6" x14ac:dyDescent="0.3">
      <c r="A353" s="15" t="s">
        <v>189</v>
      </c>
      <c r="B353" s="16">
        <v>4927</v>
      </c>
      <c r="C353" s="16">
        <v>8070</v>
      </c>
      <c r="D353" s="16">
        <v>5963</v>
      </c>
      <c r="E353" s="16">
        <v>8688</v>
      </c>
      <c r="F353" s="16">
        <f>B353+C353+D353+E353</f>
        <v>27648</v>
      </c>
    </row>
    <row r="354" spans="1:6" x14ac:dyDescent="0.3">
      <c r="A354" s="15" t="s">
        <v>190</v>
      </c>
      <c r="B354" s="16">
        <v>3858</v>
      </c>
      <c r="C354" s="16">
        <v>3724</v>
      </c>
      <c r="D354" s="16">
        <v>3501</v>
      </c>
      <c r="E354" s="16">
        <v>5390</v>
      </c>
      <c r="F354" s="16">
        <f>B354+C354+D354+E354</f>
        <v>16473</v>
      </c>
    </row>
    <row r="355" spans="1:6" x14ac:dyDescent="0.3">
      <c r="A355" s="15" t="s">
        <v>191</v>
      </c>
      <c r="B355" s="16">
        <v>3543</v>
      </c>
      <c r="C355" s="16">
        <v>5203</v>
      </c>
      <c r="D355" s="16">
        <v>5518</v>
      </c>
      <c r="E355" s="16">
        <v>6787</v>
      </c>
      <c r="F355" s="16">
        <f>B355+C355+D355+E355</f>
        <v>21051</v>
      </c>
    </row>
    <row r="356" spans="1:6" x14ac:dyDescent="0.3">
      <c r="A356" s="15" t="s">
        <v>214</v>
      </c>
      <c r="B356" s="16">
        <v>3161</v>
      </c>
      <c r="C356" s="16">
        <v>2538</v>
      </c>
      <c r="D356" s="16">
        <v>4958</v>
      </c>
      <c r="E356" s="16">
        <v>4573</v>
      </c>
      <c r="F356" s="16">
        <f>B356+C356+D356+E356</f>
        <v>15230</v>
      </c>
    </row>
    <row r="357" spans="1:6" x14ac:dyDescent="0.3">
      <c r="A357" s="15" t="s">
        <v>209</v>
      </c>
      <c r="B357" s="16">
        <v>2619</v>
      </c>
      <c r="C357" s="16">
        <v>3111</v>
      </c>
      <c r="D357" s="16">
        <v>3901</v>
      </c>
      <c r="E357" s="16">
        <v>4416</v>
      </c>
      <c r="F357" s="16">
        <f>B357+C357+D357+E357</f>
        <v>14047</v>
      </c>
    </row>
    <row r="358" spans="1:6" x14ac:dyDescent="0.3">
      <c r="A358" s="18" t="s">
        <v>41</v>
      </c>
      <c r="B358" s="20">
        <f>SUM(B353:B357)</f>
        <v>18108</v>
      </c>
      <c r="C358" s="20">
        <f>SUM(C353:C357)</f>
        <v>22646</v>
      </c>
      <c r="D358" s="20">
        <f>SUM(D353:D357)</f>
        <v>23841</v>
      </c>
      <c r="E358" s="20">
        <f>SUM(E353:E357)</f>
        <v>29854</v>
      </c>
      <c r="F358" s="20">
        <f>SUM(F353:F357)</f>
        <v>94449</v>
      </c>
    </row>
    <row r="359" spans="1:6" x14ac:dyDescent="0.3">
      <c r="E359" s="41"/>
      <c r="F359" s="41"/>
    </row>
    <row r="360" spans="1:6" x14ac:dyDescent="0.3">
      <c r="A360" s="12" t="s">
        <v>172</v>
      </c>
      <c r="B360" s="13" t="str">
        <f>B352</f>
        <v>Q1 FY 16</v>
      </c>
      <c r="C360" s="13" t="str">
        <f>C352</f>
        <v>Q2 FY 16</v>
      </c>
      <c r="D360" s="13" t="str">
        <f>D352</f>
        <v>Q3 FY 16</v>
      </c>
      <c r="E360" s="13" t="str">
        <f>E352</f>
        <v>Q4 FY 16</v>
      </c>
      <c r="F360" s="13" t="str">
        <f>F352</f>
        <v>YTD</v>
      </c>
    </row>
    <row r="361" spans="1:6" x14ac:dyDescent="0.3">
      <c r="A361" s="15" t="s">
        <v>189</v>
      </c>
      <c r="B361" s="16">
        <v>17826</v>
      </c>
      <c r="C361" s="16">
        <v>16110</v>
      </c>
      <c r="D361" s="16">
        <v>19031</v>
      </c>
      <c r="E361" s="16">
        <v>26756</v>
      </c>
      <c r="F361" s="16">
        <f>B361+C361+D361+E361</f>
        <v>79723</v>
      </c>
    </row>
    <row r="362" spans="1:6" x14ac:dyDescent="0.3">
      <c r="A362" s="15" t="s">
        <v>190</v>
      </c>
      <c r="B362" s="16">
        <v>17078</v>
      </c>
      <c r="C362" s="16">
        <v>18019</v>
      </c>
      <c r="D362" s="16">
        <v>24572</v>
      </c>
      <c r="E362" s="16">
        <v>23464</v>
      </c>
      <c r="F362" s="16">
        <f>B362+C362+D362+E362</f>
        <v>83133</v>
      </c>
    </row>
    <row r="363" spans="1:6" ht="13.5" customHeight="1" x14ac:dyDescent="0.3">
      <c r="A363" s="15" t="s">
        <v>191</v>
      </c>
      <c r="B363" s="16">
        <v>25335</v>
      </c>
      <c r="C363" s="16">
        <v>17910</v>
      </c>
      <c r="D363" s="16">
        <v>26310</v>
      </c>
      <c r="E363" s="16">
        <v>34128</v>
      </c>
      <c r="F363" s="16">
        <f>B363+C363+D363+E363</f>
        <v>103683</v>
      </c>
    </row>
    <row r="364" spans="1:6" x14ac:dyDescent="0.3">
      <c r="A364" s="15" t="s">
        <v>215</v>
      </c>
      <c r="B364" s="16">
        <v>18481</v>
      </c>
      <c r="C364" s="16">
        <v>17248</v>
      </c>
      <c r="D364" s="16">
        <v>21350</v>
      </c>
      <c r="E364" s="16">
        <v>22858</v>
      </c>
      <c r="F364" s="16">
        <f>B364+C364+D364+E364</f>
        <v>79937</v>
      </c>
    </row>
    <row r="365" spans="1:6" x14ac:dyDescent="0.3">
      <c r="A365" s="15" t="s">
        <v>209</v>
      </c>
      <c r="B365" s="16">
        <v>18077</v>
      </c>
      <c r="C365" s="16">
        <v>18267</v>
      </c>
      <c r="D365" s="16">
        <v>22549</v>
      </c>
      <c r="E365" s="16">
        <v>21753</v>
      </c>
      <c r="F365" s="16">
        <f>B365+C365+D365+E365</f>
        <v>80646</v>
      </c>
    </row>
    <row r="366" spans="1:6" x14ac:dyDescent="0.3">
      <c r="A366" s="18" t="s">
        <v>65</v>
      </c>
      <c r="B366" s="20">
        <f>SUM(B361:B365)</f>
        <v>96797</v>
      </c>
      <c r="C366" s="20">
        <f>SUM(C361:C365)</f>
        <v>87554</v>
      </c>
      <c r="D366" s="20">
        <f>SUM(D361:D365)</f>
        <v>113812</v>
      </c>
      <c r="E366" s="20">
        <f>SUM(E361:E365)</f>
        <v>128959</v>
      </c>
      <c r="F366" s="20">
        <f>SUM(F361:F365)</f>
        <v>427122</v>
      </c>
    </row>
    <row r="367" spans="1:6" x14ac:dyDescent="0.3">
      <c r="E367" s="41"/>
      <c r="F367" s="41"/>
    </row>
    <row r="368" spans="1:6" x14ac:dyDescent="0.3">
      <c r="A368" s="12" t="s">
        <v>219</v>
      </c>
      <c r="B368" s="13" t="str">
        <f>B360</f>
        <v>Q1 FY 16</v>
      </c>
      <c r="C368" s="13" t="str">
        <f>C360</f>
        <v>Q2 FY 16</v>
      </c>
      <c r="D368" s="13" t="str">
        <f>D360</f>
        <v>Q3 FY 16</v>
      </c>
      <c r="E368" s="13" t="str">
        <f>E360</f>
        <v>Q4 FY 16</v>
      </c>
      <c r="F368" s="13" t="str">
        <f>F360</f>
        <v>YTD</v>
      </c>
    </row>
    <row r="369" spans="1:16" x14ac:dyDescent="0.3">
      <c r="A369" s="15" t="s">
        <v>189</v>
      </c>
      <c r="B369" s="16">
        <f t="shared" ref="B369:F374" si="19">B353+B361</f>
        <v>22753</v>
      </c>
      <c r="C369" s="16">
        <f t="shared" si="19"/>
        <v>24180</v>
      </c>
      <c r="D369" s="16">
        <f t="shared" si="19"/>
        <v>24994</v>
      </c>
      <c r="E369" s="16">
        <f t="shared" si="19"/>
        <v>35444</v>
      </c>
      <c r="F369" s="16">
        <f t="shared" si="19"/>
        <v>107371</v>
      </c>
    </row>
    <row r="370" spans="1:16" x14ac:dyDescent="0.3">
      <c r="A370" s="15" t="s">
        <v>190</v>
      </c>
      <c r="B370" s="16">
        <f t="shared" si="19"/>
        <v>20936</v>
      </c>
      <c r="C370" s="16">
        <f t="shared" si="19"/>
        <v>21743</v>
      </c>
      <c r="D370" s="16">
        <f t="shared" si="19"/>
        <v>28073</v>
      </c>
      <c r="E370" s="16">
        <f t="shared" si="19"/>
        <v>28854</v>
      </c>
      <c r="F370" s="16">
        <f t="shared" si="19"/>
        <v>99606</v>
      </c>
    </row>
    <row r="371" spans="1:16" x14ac:dyDescent="0.3">
      <c r="A371" s="15" t="s">
        <v>191</v>
      </c>
      <c r="B371" s="16">
        <f t="shared" si="19"/>
        <v>28878</v>
      </c>
      <c r="C371" s="16">
        <f t="shared" si="19"/>
        <v>23113</v>
      </c>
      <c r="D371" s="16">
        <f t="shared" si="19"/>
        <v>31828</v>
      </c>
      <c r="E371" s="16">
        <f t="shared" si="19"/>
        <v>40915</v>
      </c>
      <c r="F371" s="16">
        <f t="shared" si="19"/>
        <v>124734</v>
      </c>
    </row>
    <row r="372" spans="1:16" x14ac:dyDescent="0.3">
      <c r="A372" s="15" t="s">
        <v>215</v>
      </c>
      <c r="B372" s="16">
        <f t="shared" si="19"/>
        <v>21642</v>
      </c>
      <c r="C372" s="16">
        <f t="shared" si="19"/>
        <v>19786</v>
      </c>
      <c r="D372" s="16">
        <f t="shared" si="19"/>
        <v>26308</v>
      </c>
      <c r="E372" s="16">
        <f t="shared" si="19"/>
        <v>27431</v>
      </c>
      <c r="F372" s="16">
        <f t="shared" si="19"/>
        <v>95167</v>
      </c>
    </row>
    <row r="373" spans="1:16" x14ac:dyDescent="0.3">
      <c r="A373" s="15" t="s">
        <v>209</v>
      </c>
      <c r="B373" s="16">
        <f t="shared" si="19"/>
        <v>20696</v>
      </c>
      <c r="C373" s="16">
        <f t="shared" si="19"/>
        <v>21378</v>
      </c>
      <c r="D373" s="16">
        <f t="shared" si="19"/>
        <v>26450</v>
      </c>
      <c r="E373" s="16">
        <f t="shared" si="19"/>
        <v>26169</v>
      </c>
      <c r="F373" s="16">
        <f t="shared" si="19"/>
        <v>94693</v>
      </c>
    </row>
    <row r="374" spans="1:16" x14ac:dyDescent="0.3">
      <c r="A374" s="18" t="s">
        <v>196</v>
      </c>
      <c r="B374" s="20">
        <f t="shared" si="19"/>
        <v>114905</v>
      </c>
      <c r="C374" s="20">
        <f t="shared" si="19"/>
        <v>110200</v>
      </c>
      <c r="D374" s="20">
        <f t="shared" si="19"/>
        <v>137653</v>
      </c>
      <c r="E374" s="20">
        <f t="shared" si="19"/>
        <v>158813</v>
      </c>
      <c r="F374" s="20">
        <f t="shared" si="19"/>
        <v>521571</v>
      </c>
    </row>
    <row r="375" spans="1:16" x14ac:dyDescent="0.3">
      <c r="A375" s="73"/>
      <c r="B375" s="95"/>
      <c r="C375" s="95"/>
      <c r="D375" s="95"/>
      <c r="E375" s="95"/>
      <c r="F375" s="95"/>
    </row>
    <row r="376" spans="1:16" x14ac:dyDescent="0.3">
      <c r="A376" s="86" t="s">
        <v>199</v>
      </c>
      <c r="B376" s="97">
        <v>5304</v>
      </c>
      <c r="C376" s="97">
        <v>5084</v>
      </c>
      <c r="D376" s="97">
        <v>9010</v>
      </c>
      <c r="E376" s="97">
        <v>12367</v>
      </c>
      <c r="F376" s="97">
        <f>SUM(B376:E376)</f>
        <v>31765</v>
      </c>
    </row>
    <row r="377" spans="1:16" x14ac:dyDescent="0.3">
      <c r="A377" s="89"/>
    </row>
    <row r="378" spans="1:16" s="46" customFormat="1" ht="5.25" customHeight="1" x14ac:dyDescent="0.3">
      <c r="A378" s="88"/>
      <c r="B378" s="88"/>
      <c r="C378" s="91"/>
      <c r="D378" s="91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</row>
    <row r="379" spans="1:16" x14ac:dyDescent="0.3">
      <c r="A379" s="89"/>
    </row>
    <row r="380" spans="1:16" x14ac:dyDescent="0.3">
      <c r="A380" s="11" t="s">
        <v>120</v>
      </c>
    </row>
    <row r="381" spans="1:16" x14ac:dyDescent="0.3">
      <c r="A381" s="29"/>
    </row>
    <row r="382" spans="1:16" x14ac:dyDescent="0.3">
      <c r="A382" s="12" t="s">
        <v>169</v>
      </c>
      <c r="B382" s="13" t="s">
        <v>179</v>
      </c>
      <c r="C382" s="13" t="s">
        <v>180</v>
      </c>
      <c r="D382" s="13" t="s">
        <v>181</v>
      </c>
      <c r="E382" s="13" t="s">
        <v>182</v>
      </c>
      <c r="F382" s="13" t="s">
        <v>20</v>
      </c>
    </row>
    <row r="383" spans="1:16" x14ac:dyDescent="0.3">
      <c r="A383" s="15" t="s">
        <v>189</v>
      </c>
      <c r="B383" s="16">
        <v>4337</v>
      </c>
      <c r="C383" s="16">
        <v>4778</v>
      </c>
      <c r="D383" s="16">
        <v>3816</v>
      </c>
      <c r="E383" s="16">
        <v>4937</v>
      </c>
      <c r="F383" s="16">
        <f t="shared" ref="F383:F388" si="20">B383+C383+D383+E383</f>
        <v>17868</v>
      </c>
    </row>
    <row r="384" spans="1:16" x14ac:dyDescent="0.3">
      <c r="A384" s="15" t="s">
        <v>190</v>
      </c>
      <c r="B384" s="16">
        <v>4002</v>
      </c>
      <c r="C384" s="16">
        <v>3883</v>
      </c>
      <c r="D384" s="16">
        <v>4251</v>
      </c>
      <c r="E384" s="16">
        <v>4681</v>
      </c>
      <c r="F384" s="16">
        <f t="shared" si="20"/>
        <v>16817</v>
      </c>
    </row>
    <row r="385" spans="1:6" x14ac:dyDescent="0.3">
      <c r="A385" s="15" t="s">
        <v>191</v>
      </c>
      <c r="B385" s="16">
        <v>2419</v>
      </c>
      <c r="C385" s="16">
        <v>2273</v>
      </c>
      <c r="D385" s="16">
        <v>2295</v>
      </c>
      <c r="E385" s="16">
        <v>2736</v>
      </c>
      <c r="F385" s="16">
        <f t="shared" si="20"/>
        <v>9723</v>
      </c>
    </row>
    <row r="386" spans="1:6" x14ac:dyDescent="0.3">
      <c r="A386" s="15" t="s">
        <v>214</v>
      </c>
      <c r="B386" s="16">
        <v>5946</v>
      </c>
      <c r="C386" s="16">
        <v>5669</v>
      </c>
      <c r="D386" s="16">
        <v>4879</v>
      </c>
      <c r="E386" s="16">
        <v>3947</v>
      </c>
      <c r="F386" s="16">
        <f t="shared" si="20"/>
        <v>20441</v>
      </c>
    </row>
    <row r="387" spans="1:6" x14ac:dyDescent="0.3">
      <c r="A387" s="15" t="s">
        <v>216</v>
      </c>
      <c r="B387" s="16">
        <v>1204</v>
      </c>
      <c r="C387" s="16">
        <v>1276</v>
      </c>
      <c r="D387" s="16">
        <v>1182</v>
      </c>
      <c r="E387" s="16">
        <v>1409</v>
      </c>
      <c r="F387" s="16">
        <f t="shared" si="20"/>
        <v>5071</v>
      </c>
    </row>
    <row r="388" spans="1:6" x14ac:dyDescent="0.3">
      <c r="A388" s="15" t="s">
        <v>209</v>
      </c>
      <c r="B388" s="16">
        <v>1648</v>
      </c>
      <c r="C388" s="16">
        <v>1768</v>
      </c>
      <c r="D388" s="16">
        <v>1913</v>
      </c>
      <c r="E388" s="16">
        <v>1681</v>
      </c>
      <c r="F388" s="16">
        <f t="shared" si="20"/>
        <v>7010</v>
      </c>
    </row>
    <row r="389" spans="1:6" x14ac:dyDescent="0.3">
      <c r="A389" s="18" t="s">
        <v>41</v>
      </c>
      <c r="B389" s="20">
        <f>SUM(B383:B388)</f>
        <v>19556</v>
      </c>
      <c r="C389" s="20">
        <f>SUM(C383:C388)</f>
        <v>19647</v>
      </c>
      <c r="D389" s="20">
        <f>SUM(D383:D388)</f>
        <v>18336</v>
      </c>
      <c r="E389" s="20">
        <f>SUM(E383:E388)</f>
        <v>19391</v>
      </c>
      <c r="F389" s="20">
        <f>SUM(F383:F388)</f>
        <v>76930</v>
      </c>
    </row>
    <row r="390" spans="1:6" x14ac:dyDescent="0.3">
      <c r="E390" s="41"/>
      <c r="F390" s="41"/>
    </row>
    <row r="391" spans="1:6" x14ac:dyDescent="0.3">
      <c r="A391" s="12" t="s">
        <v>172</v>
      </c>
      <c r="B391" s="13" t="str">
        <f>B382</f>
        <v>Q1 FY 15</v>
      </c>
      <c r="C391" s="13" t="str">
        <f>C382</f>
        <v>Q2 FY 15</v>
      </c>
      <c r="D391" s="13" t="str">
        <f>D382</f>
        <v>Q3 FY 15</v>
      </c>
      <c r="E391" s="13" t="str">
        <f>E382</f>
        <v>Q4 FY 15</v>
      </c>
      <c r="F391" s="13" t="str">
        <f>F382</f>
        <v>YTD</v>
      </c>
    </row>
    <row r="392" spans="1:6" x14ac:dyDescent="0.3">
      <c r="A392" s="15" t="s">
        <v>189</v>
      </c>
      <c r="B392" s="16">
        <v>14547</v>
      </c>
      <c r="C392" s="16">
        <v>17373</v>
      </c>
      <c r="D392" s="16">
        <v>13190</v>
      </c>
      <c r="E392" s="16">
        <v>23772</v>
      </c>
      <c r="F392" s="16">
        <f t="shared" ref="F392:F397" si="21">B392+C392+D392+E392</f>
        <v>68882</v>
      </c>
    </row>
    <row r="393" spans="1:6" x14ac:dyDescent="0.3">
      <c r="A393" s="15" t="s">
        <v>190</v>
      </c>
      <c r="B393" s="16">
        <v>14534</v>
      </c>
      <c r="C393" s="16">
        <v>13733</v>
      </c>
      <c r="D393" s="16">
        <v>14655</v>
      </c>
      <c r="E393" s="16">
        <v>18633</v>
      </c>
      <c r="F393" s="16">
        <f t="shared" si="21"/>
        <v>61555</v>
      </c>
    </row>
    <row r="394" spans="1:6" ht="13.5" customHeight="1" x14ac:dyDescent="0.3">
      <c r="A394" s="15" t="s">
        <v>191</v>
      </c>
      <c r="B394" s="16">
        <v>20203</v>
      </c>
      <c r="C394" s="16">
        <v>14954</v>
      </c>
      <c r="D394" s="16">
        <v>19240</v>
      </c>
      <c r="E394" s="16">
        <v>23743</v>
      </c>
      <c r="F394" s="16">
        <f t="shared" si="21"/>
        <v>78140</v>
      </c>
    </row>
    <row r="395" spans="1:6" x14ac:dyDescent="0.3">
      <c r="A395" s="15" t="s">
        <v>215</v>
      </c>
      <c r="B395" s="16">
        <v>26966</v>
      </c>
      <c r="C395" s="16">
        <v>24117</v>
      </c>
      <c r="D395" s="16">
        <v>24866</v>
      </c>
      <c r="E395" s="16">
        <v>19579</v>
      </c>
      <c r="F395" s="16">
        <f t="shared" si="21"/>
        <v>95528</v>
      </c>
    </row>
    <row r="396" spans="1:6" x14ac:dyDescent="0.3">
      <c r="A396" s="15" t="s">
        <v>216</v>
      </c>
      <c r="B396" s="16">
        <v>5238</v>
      </c>
      <c r="C396" s="16">
        <v>5426</v>
      </c>
      <c r="D396" s="16">
        <v>5134</v>
      </c>
      <c r="E396" s="16">
        <v>5750</v>
      </c>
      <c r="F396" s="16">
        <f t="shared" si="21"/>
        <v>21548</v>
      </c>
    </row>
    <row r="397" spans="1:6" x14ac:dyDescent="0.3">
      <c r="A397" s="15" t="s">
        <v>209</v>
      </c>
      <c r="B397" s="16">
        <v>14552</v>
      </c>
      <c r="C397" s="16">
        <v>15531</v>
      </c>
      <c r="D397" s="16">
        <v>16104</v>
      </c>
      <c r="E397" s="16">
        <v>13439</v>
      </c>
      <c r="F397" s="16">
        <f t="shared" si="21"/>
        <v>59626</v>
      </c>
    </row>
    <row r="398" spans="1:6" x14ac:dyDescent="0.3">
      <c r="A398" s="18" t="s">
        <v>65</v>
      </c>
      <c r="B398" s="20">
        <f>SUM(B392:B397)</f>
        <v>96040</v>
      </c>
      <c r="C398" s="20">
        <f>SUM(C392:C397)</f>
        <v>91134</v>
      </c>
      <c r="D398" s="20">
        <f>SUM(D392:D397)</f>
        <v>93189</v>
      </c>
      <c r="E398" s="20">
        <f>SUM(E392:E397)</f>
        <v>104916</v>
      </c>
      <c r="F398" s="20">
        <f>SUM(F392:F397)</f>
        <v>385279</v>
      </c>
    </row>
    <row r="399" spans="1:6" x14ac:dyDescent="0.3">
      <c r="E399" s="41"/>
      <c r="F399" s="41"/>
    </row>
    <row r="400" spans="1:6" x14ac:dyDescent="0.3">
      <c r="A400" s="12" t="s">
        <v>219</v>
      </c>
      <c r="B400" s="13" t="str">
        <f>B391</f>
        <v>Q1 FY 15</v>
      </c>
      <c r="C400" s="13" t="str">
        <f>C391</f>
        <v>Q2 FY 15</v>
      </c>
      <c r="D400" s="13" t="str">
        <f>D391</f>
        <v>Q3 FY 15</v>
      </c>
      <c r="E400" s="13" t="str">
        <f>E391</f>
        <v>Q4 FY 15</v>
      </c>
      <c r="F400" s="13" t="str">
        <f>F391</f>
        <v>YTD</v>
      </c>
    </row>
    <row r="401" spans="1:16" x14ac:dyDescent="0.3">
      <c r="A401" s="15" t="s">
        <v>189</v>
      </c>
      <c r="B401" s="16">
        <f t="shared" ref="B401:F407" si="22">B383+B392</f>
        <v>18884</v>
      </c>
      <c r="C401" s="16">
        <f t="shared" si="22"/>
        <v>22151</v>
      </c>
      <c r="D401" s="16">
        <f t="shared" si="22"/>
        <v>17006</v>
      </c>
      <c r="E401" s="16">
        <f t="shared" si="22"/>
        <v>28709</v>
      </c>
      <c r="F401" s="16">
        <f t="shared" si="22"/>
        <v>86750</v>
      </c>
    </row>
    <row r="402" spans="1:16" x14ac:dyDescent="0.3">
      <c r="A402" s="15" t="s">
        <v>190</v>
      </c>
      <c r="B402" s="16">
        <f t="shared" si="22"/>
        <v>18536</v>
      </c>
      <c r="C402" s="16">
        <f t="shared" si="22"/>
        <v>17616</v>
      </c>
      <c r="D402" s="16">
        <f t="shared" si="22"/>
        <v>18906</v>
      </c>
      <c r="E402" s="16">
        <f t="shared" si="22"/>
        <v>23314</v>
      </c>
      <c r="F402" s="16">
        <f t="shared" si="22"/>
        <v>78372</v>
      </c>
    </row>
    <row r="403" spans="1:16" x14ac:dyDescent="0.3">
      <c r="A403" s="15" t="s">
        <v>191</v>
      </c>
      <c r="B403" s="16">
        <f t="shared" si="22"/>
        <v>22622</v>
      </c>
      <c r="C403" s="16">
        <f t="shared" si="22"/>
        <v>17227</v>
      </c>
      <c r="D403" s="16">
        <f t="shared" si="22"/>
        <v>21535</v>
      </c>
      <c r="E403" s="16">
        <f t="shared" si="22"/>
        <v>26479</v>
      </c>
      <c r="F403" s="16">
        <f t="shared" si="22"/>
        <v>87863</v>
      </c>
    </row>
    <row r="404" spans="1:16" x14ac:dyDescent="0.3">
      <c r="A404" s="15" t="s">
        <v>215</v>
      </c>
      <c r="B404" s="16">
        <f t="shared" si="22"/>
        <v>32912</v>
      </c>
      <c r="C404" s="16">
        <f t="shared" si="22"/>
        <v>29786</v>
      </c>
      <c r="D404" s="16">
        <f t="shared" si="22"/>
        <v>29745</v>
      </c>
      <c r="E404" s="16">
        <f t="shared" si="22"/>
        <v>23526</v>
      </c>
      <c r="F404" s="16">
        <f t="shared" si="22"/>
        <v>115969</v>
      </c>
    </row>
    <row r="405" spans="1:16" x14ac:dyDescent="0.3">
      <c r="A405" s="15" t="s">
        <v>216</v>
      </c>
      <c r="B405" s="16">
        <f t="shared" si="22"/>
        <v>6442</v>
      </c>
      <c r="C405" s="16">
        <f t="shared" si="22"/>
        <v>6702</v>
      </c>
      <c r="D405" s="16">
        <f t="shared" si="22"/>
        <v>6316</v>
      </c>
      <c r="E405" s="16">
        <f t="shared" si="22"/>
        <v>7159</v>
      </c>
      <c r="F405" s="16">
        <f t="shared" si="22"/>
        <v>26619</v>
      </c>
    </row>
    <row r="406" spans="1:16" x14ac:dyDescent="0.3">
      <c r="A406" s="15" t="s">
        <v>209</v>
      </c>
      <c r="B406" s="16">
        <f t="shared" si="22"/>
        <v>16200</v>
      </c>
      <c r="C406" s="16">
        <f t="shared" si="22"/>
        <v>17299</v>
      </c>
      <c r="D406" s="16">
        <f t="shared" si="22"/>
        <v>18017</v>
      </c>
      <c r="E406" s="16">
        <f t="shared" si="22"/>
        <v>15120</v>
      </c>
      <c r="F406" s="16">
        <f t="shared" si="22"/>
        <v>66636</v>
      </c>
    </row>
    <row r="407" spans="1:16" x14ac:dyDescent="0.3">
      <c r="A407" s="18" t="s">
        <v>196</v>
      </c>
      <c r="B407" s="20">
        <f t="shared" si="22"/>
        <v>115596</v>
      </c>
      <c r="C407" s="20">
        <f t="shared" si="22"/>
        <v>110781</v>
      </c>
      <c r="D407" s="20">
        <f t="shared" si="22"/>
        <v>111525</v>
      </c>
      <c r="E407" s="20">
        <f t="shared" si="22"/>
        <v>124307</v>
      </c>
      <c r="F407" s="20">
        <f t="shared" si="22"/>
        <v>462209</v>
      </c>
    </row>
    <row r="408" spans="1:16" x14ac:dyDescent="0.3">
      <c r="A408" s="73"/>
      <c r="B408" s="95"/>
      <c r="C408" s="95"/>
      <c r="D408" s="95"/>
      <c r="E408" s="95"/>
      <c r="F408" s="95"/>
    </row>
    <row r="409" spans="1:16" x14ac:dyDescent="0.3">
      <c r="A409" s="86" t="s">
        <v>199</v>
      </c>
      <c r="B409" s="97">
        <v>0</v>
      </c>
      <c r="C409" s="97">
        <v>0</v>
      </c>
      <c r="D409" s="97">
        <v>0</v>
      </c>
      <c r="E409" s="97">
        <v>1094</v>
      </c>
      <c r="F409" s="97">
        <f>SUM(B409:E409)</f>
        <v>1094</v>
      </c>
    </row>
    <row r="410" spans="1:16" x14ac:dyDescent="0.3">
      <c r="A410" s="89"/>
      <c r="D410" s="52"/>
    </row>
    <row r="411" spans="1:16" s="46" customFormat="1" ht="5.25" customHeight="1" x14ac:dyDescent="0.3">
      <c r="A411" s="88"/>
      <c r="B411" s="88"/>
      <c r="C411" s="91"/>
      <c r="D411" s="28"/>
      <c r="E411" s="28"/>
      <c r="F411" s="28"/>
      <c r="H411" s="28"/>
      <c r="I411" s="28"/>
      <c r="J411" s="28"/>
      <c r="K411" s="28"/>
      <c r="L411" s="28"/>
      <c r="M411" s="28"/>
      <c r="N411" s="28"/>
      <c r="O411" s="28"/>
      <c r="P411" s="28"/>
    </row>
    <row r="412" spans="1:16" x14ac:dyDescent="0.3">
      <c r="D412" s="52"/>
    </row>
    <row r="413" spans="1:16" x14ac:dyDescent="0.3">
      <c r="A413" s="9" t="s">
        <v>217</v>
      </c>
      <c r="B413" s="52"/>
      <c r="C413" s="52"/>
      <c r="D413" s="52"/>
    </row>
    <row r="414" spans="1:16" x14ac:dyDescent="0.3">
      <c r="A414" s="89"/>
      <c r="D414" s="52"/>
    </row>
    <row r="415" spans="1:16" x14ac:dyDescent="0.3">
      <c r="A415" s="11" t="s">
        <v>125</v>
      </c>
      <c r="D415" s="52"/>
    </row>
    <row r="416" spans="1:16" x14ac:dyDescent="0.3">
      <c r="A416" s="29"/>
      <c r="D416" s="52"/>
    </row>
    <row r="417" spans="1:6" x14ac:dyDescent="0.3">
      <c r="A417" s="12" t="s">
        <v>169</v>
      </c>
      <c r="B417" s="13" t="s">
        <v>183</v>
      </c>
      <c r="C417" s="13" t="s">
        <v>184</v>
      </c>
      <c r="D417" s="13" t="s">
        <v>185</v>
      </c>
      <c r="E417" s="13" t="s">
        <v>186</v>
      </c>
      <c r="F417" s="13" t="s">
        <v>130</v>
      </c>
    </row>
    <row r="418" spans="1:6" x14ac:dyDescent="0.3">
      <c r="A418" s="15" t="s">
        <v>189</v>
      </c>
      <c r="B418" s="16">
        <v>3677</v>
      </c>
      <c r="C418" s="16">
        <v>4597</v>
      </c>
      <c r="D418" s="16">
        <v>2954</v>
      </c>
      <c r="E418" s="16">
        <v>5474</v>
      </c>
      <c r="F418" s="51">
        <f t="shared" ref="F418:F423" si="23">SUM(B418:E418)</f>
        <v>16702</v>
      </c>
    </row>
    <row r="419" spans="1:6" x14ac:dyDescent="0.3">
      <c r="A419" s="15" t="s">
        <v>190</v>
      </c>
      <c r="B419" s="16">
        <v>4561</v>
      </c>
      <c r="C419" s="16">
        <v>5009</v>
      </c>
      <c r="D419" s="16">
        <v>4790</v>
      </c>
      <c r="E419" s="16">
        <v>5097</v>
      </c>
      <c r="F419" s="51">
        <f t="shared" si="23"/>
        <v>19457</v>
      </c>
    </row>
    <row r="420" spans="1:6" x14ac:dyDescent="0.3">
      <c r="A420" s="15" t="s">
        <v>191</v>
      </c>
      <c r="B420" s="16">
        <v>2660</v>
      </c>
      <c r="C420" s="16">
        <v>2642</v>
      </c>
      <c r="D420" s="16">
        <v>2541</v>
      </c>
      <c r="E420" s="16">
        <v>3486</v>
      </c>
      <c r="F420" s="51">
        <f t="shared" si="23"/>
        <v>11329</v>
      </c>
    </row>
    <row r="421" spans="1:6" x14ac:dyDescent="0.3">
      <c r="A421" s="15" t="s">
        <v>214</v>
      </c>
      <c r="B421" s="16">
        <v>3789</v>
      </c>
      <c r="C421" s="16">
        <v>4593</v>
      </c>
      <c r="D421" s="16">
        <v>5351</v>
      </c>
      <c r="E421" s="16">
        <v>6158</v>
      </c>
      <c r="F421" s="51">
        <f t="shared" si="23"/>
        <v>19891</v>
      </c>
    </row>
    <row r="422" spans="1:6" x14ac:dyDescent="0.3">
      <c r="A422" s="15" t="s">
        <v>216</v>
      </c>
      <c r="B422" s="16">
        <v>1101</v>
      </c>
      <c r="C422" s="16">
        <v>1190</v>
      </c>
      <c r="D422" s="16">
        <v>1335</v>
      </c>
      <c r="E422" s="16">
        <v>1382</v>
      </c>
      <c r="F422" s="51">
        <f t="shared" si="23"/>
        <v>5008</v>
      </c>
    </row>
    <row r="423" spans="1:6" x14ac:dyDescent="0.3">
      <c r="A423" s="15" t="s">
        <v>209</v>
      </c>
      <c r="B423" s="16">
        <v>1671</v>
      </c>
      <c r="C423" s="16">
        <v>1993</v>
      </c>
      <c r="D423" s="16">
        <v>2037</v>
      </c>
      <c r="E423" s="16">
        <v>2434</v>
      </c>
      <c r="F423" s="51">
        <f t="shared" si="23"/>
        <v>8135</v>
      </c>
    </row>
    <row r="424" spans="1:6" x14ac:dyDescent="0.3">
      <c r="A424" s="18" t="s">
        <v>41</v>
      </c>
      <c r="B424" s="20">
        <f>SUM(B418:B423)</f>
        <v>17459</v>
      </c>
      <c r="C424" s="20">
        <f>SUM(C418:C423)</f>
        <v>20024</v>
      </c>
      <c r="D424" s="20">
        <f>SUM(D418:D423)</f>
        <v>19008</v>
      </c>
      <c r="E424" s="20">
        <f>SUM(E418:E423)</f>
        <v>24031</v>
      </c>
      <c r="F424" s="20">
        <f>SUM(F418:F423)</f>
        <v>80522</v>
      </c>
    </row>
    <row r="425" spans="1:6" x14ac:dyDescent="0.3">
      <c r="E425" s="41"/>
      <c r="F425" s="41"/>
    </row>
    <row r="426" spans="1:6" x14ac:dyDescent="0.3">
      <c r="A426" s="12" t="s">
        <v>172</v>
      </c>
      <c r="B426" s="13" t="str">
        <f>B417</f>
        <v>Q1 FY 14</v>
      </c>
      <c r="C426" s="13" t="str">
        <f>C417</f>
        <v>Q2 FY 14</v>
      </c>
      <c r="D426" s="13" t="str">
        <f>D417</f>
        <v>Q3 FY 14</v>
      </c>
      <c r="E426" s="13" t="str">
        <f>E417</f>
        <v>Q4 FY 14</v>
      </c>
      <c r="F426" s="13" t="str">
        <f>F417</f>
        <v>FY 14</v>
      </c>
    </row>
    <row r="427" spans="1:6" x14ac:dyDescent="0.3">
      <c r="A427" s="15" t="s">
        <v>189</v>
      </c>
      <c r="B427" s="16">
        <v>12715</v>
      </c>
      <c r="C427" s="16">
        <v>15604</v>
      </c>
      <c r="D427" s="16">
        <v>12343</v>
      </c>
      <c r="E427" s="16">
        <v>19357</v>
      </c>
      <c r="F427" s="51">
        <f t="shared" ref="F427:F432" si="24">SUM(B427:E427)</f>
        <v>60019</v>
      </c>
    </row>
    <row r="428" spans="1:6" x14ac:dyDescent="0.3">
      <c r="A428" s="15" t="s">
        <v>190</v>
      </c>
      <c r="B428" s="16">
        <v>11634</v>
      </c>
      <c r="C428" s="16">
        <v>13608</v>
      </c>
      <c r="D428" s="16">
        <v>16146</v>
      </c>
      <c r="E428" s="16">
        <v>14826</v>
      </c>
      <c r="F428" s="51">
        <f t="shared" si="24"/>
        <v>56214</v>
      </c>
    </row>
    <row r="429" spans="1:6" ht="13.5" customHeight="1" x14ac:dyDescent="0.3">
      <c r="A429" s="15" t="s">
        <v>191</v>
      </c>
      <c r="B429" s="16">
        <v>17290</v>
      </c>
      <c r="C429" s="16">
        <v>13784</v>
      </c>
      <c r="D429" s="16">
        <v>19011</v>
      </c>
      <c r="E429" s="16">
        <v>21440</v>
      </c>
      <c r="F429" s="51">
        <f t="shared" si="24"/>
        <v>71525</v>
      </c>
    </row>
    <row r="430" spans="1:6" x14ac:dyDescent="0.3">
      <c r="A430" s="15" t="s">
        <v>214</v>
      </c>
      <c r="B430" s="16">
        <v>16638</v>
      </c>
      <c r="C430" s="16">
        <v>19758</v>
      </c>
      <c r="D430" s="16">
        <v>23381</v>
      </c>
      <c r="E430" s="16">
        <v>23409</v>
      </c>
      <c r="F430" s="51">
        <f t="shared" si="24"/>
        <v>83186</v>
      </c>
    </row>
    <row r="431" spans="1:6" x14ac:dyDescent="0.3">
      <c r="A431" s="15" t="s">
        <v>216</v>
      </c>
      <c r="B431" s="16">
        <v>4315</v>
      </c>
      <c r="C431" s="16">
        <v>4305</v>
      </c>
      <c r="D431" s="16">
        <v>4293</v>
      </c>
      <c r="E431" s="16">
        <v>4874</v>
      </c>
      <c r="F431" s="51">
        <f t="shared" si="24"/>
        <v>17787</v>
      </c>
    </row>
    <row r="432" spans="1:6" x14ac:dyDescent="0.3">
      <c r="A432" s="15" t="s">
        <v>209</v>
      </c>
      <c r="B432" s="16">
        <v>14668</v>
      </c>
      <c r="C432" s="16">
        <v>15561</v>
      </c>
      <c r="D432" s="16">
        <v>17990</v>
      </c>
      <c r="E432" s="16">
        <v>16839</v>
      </c>
      <c r="F432" s="51">
        <f t="shared" si="24"/>
        <v>65058</v>
      </c>
    </row>
    <row r="433" spans="1:16" x14ac:dyDescent="0.3">
      <c r="A433" s="18" t="s">
        <v>65</v>
      </c>
      <c r="B433" s="20">
        <f>SUM(B427:B432)</f>
        <v>77260</v>
      </c>
      <c r="C433" s="20">
        <f>SUM(C427:C432)</f>
        <v>82620</v>
      </c>
      <c r="D433" s="20">
        <f>SUM(D427:D432)</f>
        <v>93164</v>
      </c>
      <c r="E433" s="20">
        <f>SUM(E427:E432)</f>
        <v>100745</v>
      </c>
      <c r="F433" s="20">
        <f>SUM(F427:F432)</f>
        <v>353789</v>
      </c>
    </row>
    <row r="434" spans="1:16" x14ac:dyDescent="0.3">
      <c r="E434" s="41"/>
      <c r="F434" s="41"/>
    </row>
    <row r="435" spans="1:16" x14ac:dyDescent="0.3">
      <c r="A435" s="12" t="s">
        <v>219</v>
      </c>
      <c r="B435" s="13" t="str">
        <f>B426</f>
        <v>Q1 FY 14</v>
      </c>
      <c r="C435" s="13" t="str">
        <f>C426</f>
        <v>Q2 FY 14</v>
      </c>
      <c r="D435" s="13" t="str">
        <f>D426</f>
        <v>Q3 FY 14</v>
      </c>
      <c r="E435" s="13" t="str">
        <f>E426</f>
        <v>Q4 FY 14</v>
      </c>
      <c r="F435" s="13" t="str">
        <f>F426</f>
        <v>FY 14</v>
      </c>
    </row>
    <row r="436" spans="1:16" x14ac:dyDescent="0.3">
      <c r="A436" s="15" t="s">
        <v>189</v>
      </c>
      <c r="B436" s="16">
        <f t="shared" ref="B436:F442" si="25">B418+B427</f>
        <v>16392</v>
      </c>
      <c r="C436" s="16">
        <f t="shared" si="25"/>
        <v>20201</v>
      </c>
      <c r="D436" s="16">
        <f t="shared" si="25"/>
        <v>15297</v>
      </c>
      <c r="E436" s="16">
        <f t="shared" si="25"/>
        <v>24831</v>
      </c>
      <c r="F436" s="16">
        <f t="shared" si="25"/>
        <v>76721</v>
      </c>
    </row>
    <row r="437" spans="1:16" x14ac:dyDescent="0.3">
      <c r="A437" s="15" t="s">
        <v>190</v>
      </c>
      <c r="B437" s="16">
        <f t="shared" si="25"/>
        <v>16195</v>
      </c>
      <c r="C437" s="16">
        <f t="shared" si="25"/>
        <v>18617</v>
      </c>
      <c r="D437" s="16">
        <f t="shared" si="25"/>
        <v>20936</v>
      </c>
      <c r="E437" s="16">
        <f t="shared" si="25"/>
        <v>19923</v>
      </c>
      <c r="F437" s="16">
        <f t="shared" si="25"/>
        <v>75671</v>
      </c>
    </row>
    <row r="438" spans="1:16" x14ac:dyDescent="0.3">
      <c r="A438" s="15" t="s">
        <v>191</v>
      </c>
      <c r="B438" s="16">
        <f t="shared" si="25"/>
        <v>19950</v>
      </c>
      <c r="C438" s="16">
        <f t="shared" si="25"/>
        <v>16426</v>
      </c>
      <c r="D438" s="16">
        <f t="shared" si="25"/>
        <v>21552</v>
      </c>
      <c r="E438" s="16">
        <f t="shared" si="25"/>
        <v>24926</v>
      </c>
      <c r="F438" s="16">
        <f t="shared" si="25"/>
        <v>82854</v>
      </c>
    </row>
    <row r="439" spans="1:16" x14ac:dyDescent="0.3">
      <c r="A439" s="15" t="s">
        <v>214</v>
      </c>
      <c r="B439" s="16">
        <f t="shared" si="25"/>
        <v>20427</v>
      </c>
      <c r="C439" s="16">
        <f t="shared" si="25"/>
        <v>24351</v>
      </c>
      <c r="D439" s="16">
        <f t="shared" si="25"/>
        <v>28732</v>
      </c>
      <c r="E439" s="16">
        <f t="shared" si="25"/>
        <v>29567</v>
      </c>
      <c r="F439" s="16">
        <f t="shared" si="25"/>
        <v>103077</v>
      </c>
    </row>
    <row r="440" spans="1:16" x14ac:dyDescent="0.3">
      <c r="A440" s="15" t="s">
        <v>216</v>
      </c>
      <c r="B440" s="16">
        <f t="shared" si="25"/>
        <v>5416</v>
      </c>
      <c r="C440" s="16">
        <f t="shared" si="25"/>
        <v>5495</v>
      </c>
      <c r="D440" s="16">
        <f t="shared" si="25"/>
        <v>5628</v>
      </c>
      <c r="E440" s="16">
        <f t="shared" si="25"/>
        <v>6256</v>
      </c>
      <c r="F440" s="16">
        <f t="shared" si="25"/>
        <v>22795</v>
      </c>
    </row>
    <row r="441" spans="1:16" x14ac:dyDescent="0.3">
      <c r="A441" s="15" t="s">
        <v>209</v>
      </c>
      <c r="B441" s="16">
        <f t="shared" si="25"/>
        <v>16339</v>
      </c>
      <c r="C441" s="16">
        <f t="shared" si="25"/>
        <v>17554</v>
      </c>
      <c r="D441" s="16">
        <f t="shared" si="25"/>
        <v>20027</v>
      </c>
      <c r="E441" s="16">
        <f t="shared" si="25"/>
        <v>19273</v>
      </c>
      <c r="F441" s="16">
        <f t="shared" si="25"/>
        <v>73193</v>
      </c>
    </row>
    <row r="442" spans="1:16" x14ac:dyDescent="0.3">
      <c r="A442" s="18" t="s">
        <v>196</v>
      </c>
      <c r="B442" s="20">
        <f t="shared" si="25"/>
        <v>94719</v>
      </c>
      <c r="C442" s="20">
        <f t="shared" si="25"/>
        <v>102644</v>
      </c>
      <c r="D442" s="20">
        <f t="shared" si="25"/>
        <v>112172</v>
      </c>
      <c r="E442" s="20">
        <f t="shared" si="25"/>
        <v>124776</v>
      </c>
      <c r="F442" s="20">
        <f t="shared" si="25"/>
        <v>434311</v>
      </c>
    </row>
    <row r="443" spans="1:16" x14ac:dyDescent="0.3">
      <c r="A443" s="89"/>
      <c r="D443" s="52"/>
    </row>
    <row r="444" spans="1:16" s="46" customFormat="1" ht="5.25" customHeight="1" x14ac:dyDescent="0.3">
      <c r="A444" s="88"/>
      <c r="B444" s="88"/>
      <c r="C444" s="91"/>
      <c r="D444" s="28"/>
      <c r="E444" s="28"/>
      <c r="F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1:16" x14ac:dyDescent="0.3">
      <c r="A445" s="89"/>
      <c r="D445" s="52"/>
    </row>
    <row r="446" spans="1:16" x14ac:dyDescent="0.3">
      <c r="A446" s="9" t="s">
        <v>217</v>
      </c>
      <c r="B446" s="52"/>
      <c r="C446" s="52"/>
      <c r="D446" s="52"/>
    </row>
    <row r="447" spans="1:16" x14ac:dyDescent="0.3">
      <c r="A447" s="89"/>
      <c r="D447" s="52"/>
    </row>
    <row r="448" spans="1:16" x14ac:dyDescent="0.3">
      <c r="A448" s="11" t="s">
        <v>131</v>
      </c>
      <c r="D448" s="52"/>
    </row>
    <row r="449" spans="1:6" x14ac:dyDescent="0.3">
      <c r="A449" s="29"/>
      <c r="D449" s="52"/>
    </row>
    <row r="450" spans="1:6" x14ac:dyDescent="0.3">
      <c r="A450" s="12" t="s">
        <v>169</v>
      </c>
      <c r="B450" s="13" t="s">
        <v>132</v>
      </c>
      <c r="C450" s="13" t="s">
        <v>133</v>
      </c>
      <c r="D450" s="13" t="s">
        <v>134</v>
      </c>
      <c r="E450" s="13" t="s">
        <v>135</v>
      </c>
      <c r="F450" s="30" t="s">
        <v>136</v>
      </c>
    </row>
    <row r="451" spans="1:6" x14ac:dyDescent="0.3">
      <c r="A451" s="15" t="s">
        <v>189</v>
      </c>
      <c r="B451" s="16">
        <v>3084</v>
      </c>
      <c r="C451" s="33">
        <v>4022</v>
      </c>
      <c r="D451" s="33">
        <v>2989</v>
      </c>
      <c r="E451" s="33">
        <v>4989</v>
      </c>
      <c r="F451" s="51">
        <f t="shared" ref="F451:F456" si="26">SUM(B451:E451)</f>
        <v>15084</v>
      </c>
    </row>
    <row r="452" spans="1:6" x14ac:dyDescent="0.3">
      <c r="A452" s="15" t="s">
        <v>190</v>
      </c>
      <c r="B452" s="16">
        <v>3384</v>
      </c>
      <c r="C452" s="33">
        <v>3198</v>
      </c>
      <c r="D452" s="33">
        <v>2591</v>
      </c>
      <c r="E452" s="33">
        <v>3855</v>
      </c>
      <c r="F452" s="51">
        <f t="shared" si="26"/>
        <v>13028</v>
      </c>
    </row>
    <row r="453" spans="1:6" x14ac:dyDescent="0.3">
      <c r="A453" s="15" t="s">
        <v>191</v>
      </c>
      <c r="B453" s="16">
        <v>2698</v>
      </c>
      <c r="C453" s="33">
        <v>2001</v>
      </c>
      <c r="D453" s="33">
        <v>2280</v>
      </c>
      <c r="E453" s="33">
        <v>3763</v>
      </c>
      <c r="F453" s="51">
        <f t="shared" si="26"/>
        <v>10742</v>
      </c>
    </row>
    <row r="454" spans="1:6" x14ac:dyDescent="0.3">
      <c r="A454" s="15" t="s">
        <v>214</v>
      </c>
      <c r="B454" s="16">
        <v>2180</v>
      </c>
      <c r="C454" s="33">
        <v>1363</v>
      </c>
      <c r="D454" s="33">
        <v>1810</v>
      </c>
      <c r="E454" s="33">
        <v>4143</v>
      </c>
      <c r="F454" s="51">
        <f t="shared" si="26"/>
        <v>9496</v>
      </c>
    </row>
    <row r="455" spans="1:6" x14ac:dyDescent="0.3">
      <c r="A455" s="15" t="s">
        <v>216</v>
      </c>
      <c r="B455" s="16">
        <v>849</v>
      </c>
      <c r="C455" s="33">
        <v>914</v>
      </c>
      <c r="D455" s="33">
        <v>808</v>
      </c>
      <c r="E455" s="33">
        <v>1270</v>
      </c>
      <c r="F455" s="51">
        <f t="shared" si="26"/>
        <v>3841</v>
      </c>
    </row>
    <row r="456" spans="1:6" x14ac:dyDescent="0.3">
      <c r="A456" s="15" t="s">
        <v>209</v>
      </c>
      <c r="B456" s="16">
        <v>1443</v>
      </c>
      <c r="C456" s="33">
        <v>1300</v>
      </c>
      <c r="D456" s="33">
        <v>1502</v>
      </c>
      <c r="E456" s="33">
        <v>2157</v>
      </c>
      <c r="F456" s="51">
        <f t="shared" si="26"/>
        <v>6402</v>
      </c>
    </row>
    <row r="457" spans="1:6" x14ac:dyDescent="0.3">
      <c r="A457" s="18" t="s">
        <v>41</v>
      </c>
      <c r="B457" s="20">
        <f>SUM(B451:B456)</f>
        <v>13638</v>
      </c>
      <c r="C457" s="20">
        <f>SUM(C451:C456)</f>
        <v>12798</v>
      </c>
      <c r="D457" s="20">
        <f>SUM(D451:D456)</f>
        <v>11980</v>
      </c>
      <c r="E457" s="20">
        <f>SUM(E451:E456)</f>
        <v>20177</v>
      </c>
      <c r="F457" s="20">
        <f>SUM(F451:F456)</f>
        <v>58593</v>
      </c>
    </row>
    <row r="458" spans="1:6" x14ac:dyDescent="0.3">
      <c r="C458" s="52"/>
      <c r="D458" s="52"/>
    </row>
    <row r="459" spans="1:6" x14ac:dyDescent="0.3">
      <c r="A459" s="12" t="s">
        <v>172</v>
      </c>
      <c r="B459" s="13" t="s">
        <v>132</v>
      </c>
      <c r="C459" s="13" t="s">
        <v>133</v>
      </c>
      <c r="D459" s="13" t="s">
        <v>134</v>
      </c>
      <c r="E459" s="13" t="str">
        <f>E450</f>
        <v>Q4 FY 13</v>
      </c>
      <c r="F459" s="13" t="str">
        <f>F450</f>
        <v>FY 13</v>
      </c>
    </row>
    <row r="460" spans="1:6" x14ac:dyDescent="0.3">
      <c r="A460" s="15" t="s">
        <v>189</v>
      </c>
      <c r="B460" s="16">
        <v>11399</v>
      </c>
      <c r="C460" s="33">
        <v>14093</v>
      </c>
      <c r="D460" s="33">
        <v>10980</v>
      </c>
      <c r="E460" s="33">
        <v>20714</v>
      </c>
      <c r="F460" s="51">
        <f t="shared" ref="F460:F465" si="27">SUM(B460:E460)</f>
        <v>57186</v>
      </c>
    </row>
    <row r="461" spans="1:6" x14ac:dyDescent="0.3">
      <c r="A461" s="15" t="s">
        <v>190</v>
      </c>
      <c r="B461" s="16">
        <v>11405</v>
      </c>
      <c r="C461" s="33">
        <v>11622</v>
      </c>
      <c r="D461" s="33">
        <v>13146</v>
      </c>
      <c r="E461" s="33">
        <v>13758</v>
      </c>
      <c r="F461" s="51">
        <f t="shared" si="27"/>
        <v>49931</v>
      </c>
    </row>
    <row r="462" spans="1:6" ht="13.5" customHeight="1" x14ac:dyDescent="0.3">
      <c r="A462" s="15" t="s">
        <v>191</v>
      </c>
      <c r="B462" s="16">
        <v>16680</v>
      </c>
      <c r="C462" s="33">
        <v>14024</v>
      </c>
      <c r="D462" s="33">
        <v>17705</v>
      </c>
      <c r="E462" s="33">
        <v>21843</v>
      </c>
      <c r="F462" s="51">
        <f t="shared" si="27"/>
        <v>70252</v>
      </c>
    </row>
    <row r="463" spans="1:6" x14ac:dyDescent="0.3">
      <c r="A463" s="15" t="s">
        <v>214</v>
      </c>
      <c r="B463" s="16">
        <v>16285</v>
      </c>
      <c r="C463" s="33">
        <v>15789</v>
      </c>
      <c r="D463" s="33">
        <v>17921</v>
      </c>
      <c r="E463" s="33">
        <v>17584</v>
      </c>
      <c r="F463" s="51">
        <f t="shared" si="27"/>
        <v>67579</v>
      </c>
    </row>
    <row r="464" spans="1:6" x14ac:dyDescent="0.3">
      <c r="A464" s="15" t="s">
        <v>216</v>
      </c>
      <c r="B464" s="16">
        <v>3103</v>
      </c>
      <c r="C464" s="33">
        <v>3145</v>
      </c>
      <c r="D464" s="33">
        <v>3511</v>
      </c>
      <c r="E464" s="33">
        <v>4249</v>
      </c>
      <c r="F464" s="51">
        <f t="shared" si="27"/>
        <v>14008</v>
      </c>
    </row>
    <row r="465" spans="1:16" x14ac:dyDescent="0.3">
      <c r="A465" s="15" t="s">
        <v>209</v>
      </c>
      <c r="B465" s="16">
        <v>13248</v>
      </c>
      <c r="C465" s="33">
        <v>13278</v>
      </c>
      <c r="D465" s="33">
        <v>13415</v>
      </c>
      <c r="E465" s="33">
        <v>17146</v>
      </c>
      <c r="F465" s="51">
        <f t="shared" si="27"/>
        <v>57087</v>
      </c>
    </row>
    <row r="466" spans="1:16" x14ac:dyDescent="0.3">
      <c r="A466" s="18" t="s">
        <v>65</v>
      </c>
      <c r="B466" s="20">
        <f>SUM(B460:B465)</f>
        <v>72120</v>
      </c>
      <c r="C466" s="20">
        <f>SUM(C460:C465)</f>
        <v>71951</v>
      </c>
      <c r="D466" s="20">
        <f>SUM(D460:D465)</f>
        <v>76678</v>
      </c>
      <c r="E466" s="20">
        <f>SUM(E460:E465)</f>
        <v>95294</v>
      </c>
      <c r="F466" s="20">
        <f>SUM(F460:F465)</f>
        <v>316043</v>
      </c>
    </row>
    <row r="467" spans="1:16" x14ac:dyDescent="0.3">
      <c r="C467" s="52"/>
      <c r="D467" s="52"/>
    </row>
    <row r="468" spans="1:16" x14ac:dyDescent="0.3">
      <c r="A468" s="12" t="s">
        <v>219</v>
      </c>
      <c r="B468" s="13" t="s">
        <v>132</v>
      </c>
      <c r="C468" s="13" t="s">
        <v>133</v>
      </c>
      <c r="D468" s="13" t="s">
        <v>134</v>
      </c>
      <c r="E468" s="13" t="str">
        <f>E459</f>
        <v>Q4 FY 13</v>
      </c>
      <c r="F468" s="13" t="str">
        <f>F459</f>
        <v>FY 13</v>
      </c>
    </row>
    <row r="469" spans="1:16" x14ac:dyDescent="0.3">
      <c r="A469" s="15" t="s">
        <v>189</v>
      </c>
      <c r="B469" s="16">
        <f t="shared" ref="B469:F474" si="28">B451+B460</f>
        <v>14483</v>
      </c>
      <c r="C469" s="16">
        <f t="shared" si="28"/>
        <v>18115</v>
      </c>
      <c r="D469" s="16">
        <f t="shared" si="28"/>
        <v>13969</v>
      </c>
      <c r="E469" s="16">
        <f t="shared" si="28"/>
        <v>25703</v>
      </c>
      <c r="F469" s="16">
        <f t="shared" si="28"/>
        <v>72270</v>
      </c>
    </row>
    <row r="470" spans="1:16" x14ac:dyDescent="0.3">
      <c r="A470" s="15" t="s">
        <v>190</v>
      </c>
      <c r="B470" s="16">
        <f t="shared" si="28"/>
        <v>14789</v>
      </c>
      <c r="C470" s="16">
        <f t="shared" si="28"/>
        <v>14820</v>
      </c>
      <c r="D470" s="16">
        <f t="shared" si="28"/>
        <v>15737</v>
      </c>
      <c r="E470" s="16">
        <f t="shared" si="28"/>
        <v>17613</v>
      </c>
      <c r="F470" s="16">
        <f t="shared" si="28"/>
        <v>62959</v>
      </c>
    </row>
    <row r="471" spans="1:16" x14ac:dyDescent="0.3">
      <c r="A471" s="15" t="s">
        <v>191</v>
      </c>
      <c r="B471" s="16">
        <f t="shared" si="28"/>
        <v>19378</v>
      </c>
      <c r="C471" s="16">
        <f t="shared" si="28"/>
        <v>16025</v>
      </c>
      <c r="D471" s="16">
        <f t="shared" si="28"/>
        <v>19985</v>
      </c>
      <c r="E471" s="16">
        <f t="shared" si="28"/>
        <v>25606</v>
      </c>
      <c r="F471" s="16">
        <f t="shared" si="28"/>
        <v>80994</v>
      </c>
    </row>
    <row r="472" spans="1:16" x14ac:dyDescent="0.3">
      <c r="A472" s="15" t="s">
        <v>214</v>
      </c>
      <c r="B472" s="16">
        <f t="shared" si="28"/>
        <v>18465</v>
      </c>
      <c r="C472" s="16">
        <f t="shared" si="28"/>
        <v>17152</v>
      </c>
      <c r="D472" s="16">
        <f t="shared" si="28"/>
        <v>19731</v>
      </c>
      <c r="E472" s="16">
        <f t="shared" si="28"/>
        <v>21727</v>
      </c>
      <c r="F472" s="16">
        <f t="shared" si="28"/>
        <v>77075</v>
      </c>
    </row>
    <row r="473" spans="1:16" x14ac:dyDescent="0.3">
      <c r="A473" s="15" t="s">
        <v>216</v>
      </c>
      <c r="B473" s="16">
        <f t="shared" si="28"/>
        <v>3952</v>
      </c>
      <c r="C473" s="16">
        <f t="shared" si="28"/>
        <v>4059</v>
      </c>
      <c r="D473" s="16">
        <f t="shared" si="28"/>
        <v>4319</v>
      </c>
      <c r="E473" s="16">
        <f t="shared" si="28"/>
        <v>5519</v>
      </c>
      <c r="F473" s="16">
        <f t="shared" si="28"/>
        <v>17849</v>
      </c>
    </row>
    <row r="474" spans="1:16" x14ac:dyDescent="0.3">
      <c r="A474" s="15" t="s">
        <v>209</v>
      </c>
      <c r="B474" s="16">
        <f t="shared" si="28"/>
        <v>14691</v>
      </c>
      <c r="C474" s="16">
        <f t="shared" si="28"/>
        <v>14578</v>
      </c>
      <c r="D474" s="16">
        <f t="shared" si="28"/>
        <v>14917</v>
      </c>
      <c r="E474" s="16">
        <f t="shared" si="28"/>
        <v>19303</v>
      </c>
      <c r="F474" s="16">
        <f t="shared" si="28"/>
        <v>63489</v>
      </c>
    </row>
    <row r="475" spans="1:16" x14ac:dyDescent="0.3">
      <c r="A475" s="18" t="s">
        <v>196</v>
      </c>
      <c r="B475" s="20">
        <f>B457+B466</f>
        <v>85758</v>
      </c>
      <c r="C475" s="20">
        <f>SUM(C469:C474)</f>
        <v>84749</v>
      </c>
      <c r="D475" s="20">
        <f>SUM(D469:D474)</f>
        <v>88658</v>
      </c>
      <c r="E475" s="20">
        <f>SUM(E469:E474)</f>
        <v>115471</v>
      </c>
      <c r="F475" s="20">
        <f>SUM(F469:F474)</f>
        <v>374636</v>
      </c>
    </row>
    <row r="476" spans="1:16" x14ac:dyDescent="0.3">
      <c r="A476" s="89"/>
      <c r="D476" s="52"/>
    </row>
    <row r="477" spans="1:16" s="46" customFormat="1" ht="5.25" customHeight="1" x14ac:dyDescent="0.3">
      <c r="A477" s="88"/>
      <c r="B477" s="88"/>
      <c r="C477" s="91"/>
      <c r="D477" s="28"/>
      <c r="E477" s="28"/>
      <c r="F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1:16" x14ac:dyDescent="0.3">
      <c r="A478" s="89"/>
      <c r="D478" s="52"/>
    </row>
    <row r="479" spans="1:16" x14ac:dyDescent="0.3">
      <c r="A479" s="89"/>
      <c r="D479" s="52"/>
    </row>
    <row r="480" spans="1:16" x14ac:dyDescent="0.3">
      <c r="A480" s="11" t="s">
        <v>138</v>
      </c>
      <c r="D480" s="52"/>
    </row>
    <row r="481" spans="1:8" x14ac:dyDescent="0.3">
      <c r="A481" s="29"/>
      <c r="D481" s="52"/>
    </row>
    <row r="482" spans="1:8" x14ac:dyDescent="0.3">
      <c r="A482" s="12" t="s">
        <v>169</v>
      </c>
      <c r="B482" s="13" t="s">
        <v>139</v>
      </c>
      <c r="C482" s="13" t="s">
        <v>140</v>
      </c>
      <c r="D482" s="13" t="s">
        <v>141</v>
      </c>
      <c r="E482" s="13" t="s">
        <v>142</v>
      </c>
      <c r="F482" s="30" t="s">
        <v>143</v>
      </c>
    </row>
    <row r="483" spans="1:8" x14ac:dyDescent="0.3">
      <c r="A483" s="15" t="s">
        <v>189</v>
      </c>
      <c r="B483" s="33">
        <v>2938</v>
      </c>
      <c r="C483" s="33">
        <v>4361</v>
      </c>
      <c r="D483" s="33">
        <v>2463</v>
      </c>
      <c r="E483" s="33">
        <v>4003</v>
      </c>
      <c r="F483" s="51">
        <f t="shared" ref="F483:F488" si="29">SUM(B483:E483)</f>
        <v>13765</v>
      </c>
      <c r="H483" s="101"/>
    </row>
    <row r="484" spans="1:8" x14ac:dyDescent="0.3">
      <c r="A484" s="15" t="s">
        <v>190</v>
      </c>
      <c r="B484" s="33">
        <v>4143</v>
      </c>
      <c r="C484" s="33">
        <v>3096</v>
      </c>
      <c r="D484" s="33">
        <v>3146</v>
      </c>
      <c r="E484" s="33">
        <v>3482</v>
      </c>
      <c r="F484" s="51">
        <f t="shared" si="29"/>
        <v>13867</v>
      </c>
      <c r="H484" s="101"/>
    </row>
    <row r="485" spans="1:8" x14ac:dyDescent="0.3">
      <c r="A485" s="15" t="s">
        <v>191</v>
      </c>
      <c r="B485" s="33">
        <v>2231</v>
      </c>
      <c r="C485" s="33">
        <v>2331</v>
      </c>
      <c r="D485" s="33">
        <v>2671</v>
      </c>
      <c r="E485" s="33">
        <v>2974</v>
      </c>
      <c r="F485" s="51">
        <f t="shared" si="29"/>
        <v>10207</v>
      </c>
      <c r="H485" s="101"/>
    </row>
    <row r="486" spans="1:8" x14ac:dyDescent="0.3">
      <c r="A486" s="15" t="s">
        <v>214</v>
      </c>
      <c r="B486" s="33">
        <v>1434</v>
      </c>
      <c r="C486" s="33">
        <v>1680</v>
      </c>
      <c r="D486" s="33">
        <v>2198</v>
      </c>
      <c r="E486" s="33">
        <v>2098</v>
      </c>
      <c r="F486" s="51">
        <f t="shared" si="29"/>
        <v>7410</v>
      </c>
      <c r="H486" s="101"/>
    </row>
    <row r="487" spans="1:8" x14ac:dyDescent="0.3">
      <c r="A487" s="15" t="s">
        <v>216</v>
      </c>
      <c r="B487" s="33">
        <v>756</v>
      </c>
      <c r="C487" s="33">
        <v>723</v>
      </c>
      <c r="D487" s="33">
        <v>923</v>
      </c>
      <c r="E487" s="33">
        <v>1116</v>
      </c>
      <c r="F487" s="51">
        <f t="shared" si="29"/>
        <v>3518</v>
      </c>
      <c r="H487" s="101"/>
    </row>
    <row r="488" spans="1:8" x14ac:dyDescent="0.3">
      <c r="A488" s="15" t="s">
        <v>209</v>
      </c>
      <c r="B488" s="33">
        <v>1055</v>
      </c>
      <c r="C488" s="33">
        <v>1042</v>
      </c>
      <c r="D488" s="33">
        <v>1605</v>
      </c>
      <c r="E488" s="33">
        <v>1758</v>
      </c>
      <c r="F488" s="51">
        <f t="shared" si="29"/>
        <v>5460</v>
      </c>
      <c r="H488" s="101"/>
    </row>
    <row r="489" spans="1:8" x14ac:dyDescent="0.3">
      <c r="A489" s="18" t="s">
        <v>41</v>
      </c>
      <c r="B489" s="20">
        <f>SUM(B483:B488)</f>
        <v>12557</v>
      </c>
      <c r="C489" s="20">
        <f>SUM(C483:C488)</f>
        <v>13233</v>
      </c>
      <c r="D489" s="20">
        <f>SUM(D483:D488)</f>
        <v>13006</v>
      </c>
      <c r="E489" s="20">
        <f>SUM(E483:E488)</f>
        <v>15431</v>
      </c>
      <c r="F489" s="20">
        <f>SUM(F483:F488)</f>
        <v>54227</v>
      </c>
      <c r="H489" s="101"/>
    </row>
    <row r="490" spans="1:8" x14ac:dyDescent="0.3">
      <c r="D490" s="52"/>
    </row>
    <row r="491" spans="1:8" x14ac:dyDescent="0.3">
      <c r="A491" s="12" t="s">
        <v>172</v>
      </c>
      <c r="B491" s="13" t="s">
        <v>139</v>
      </c>
      <c r="C491" s="13" t="s">
        <v>140</v>
      </c>
      <c r="D491" s="13" t="s">
        <v>141</v>
      </c>
      <c r="E491" s="13" t="s">
        <v>142</v>
      </c>
      <c r="F491" s="30" t="s">
        <v>143</v>
      </c>
    </row>
    <row r="492" spans="1:8" x14ac:dyDescent="0.3">
      <c r="A492" s="15" t="s">
        <v>189</v>
      </c>
      <c r="B492" s="33">
        <v>7729</v>
      </c>
      <c r="C492" s="33">
        <v>10635</v>
      </c>
      <c r="D492" s="33">
        <v>10130</v>
      </c>
      <c r="E492" s="33">
        <v>17763</v>
      </c>
      <c r="F492" s="51">
        <f t="shared" ref="F492:F497" si="30">SUM(B492:E492)</f>
        <v>46257</v>
      </c>
      <c r="H492" s="101"/>
    </row>
    <row r="493" spans="1:8" x14ac:dyDescent="0.3">
      <c r="A493" s="15" t="s">
        <v>190</v>
      </c>
      <c r="B493" s="33">
        <v>9775</v>
      </c>
      <c r="C493" s="33">
        <v>9010</v>
      </c>
      <c r="D493" s="33">
        <v>13592</v>
      </c>
      <c r="E493" s="33">
        <v>11759</v>
      </c>
      <c r="F493" s="51">
        <f t="shared" si="30"/>
        <v>44136</v>
      </c>
      <c r="H493" s="101"/>
    </row>
    <row r="494" spans="1:8" x14ac:dyDescent="0.3">
      <c r="A494" s="15" t="s">
        <v>191</v>
      </c>
      <c r="B494" s="33">
        <v>11582</v>
      </c>
      <c r="C494" s="33">
        <v>10127</v>
      </c>
      <c r="D494" s="33">
        <v>16024</v>
      </c>
      <c r="E494" s="33">
        <v>20480</v>
      </c>
      <c r="F494" s="51">
        <f t="shared" si="30"/>
        <v>58213</v>
      </c>
      <c r="H494" s="101"/>
    </row>
    <row r="495" spans="1:8" x14ac:dyDescent="0.3">
      <c r="A495" s="15" t="s">
        <v>214</v>
      </c>
      <c r="B495" s="33">
        <v>8762</v>
      </c>
      <c r="C495" s="33">
        <v>9360</v>
      </c>
      <c r="D495" s="33">
        <v>10599</v>
      </c>
      <c r="E495" s="33">
        <v>15901</v>
      </c>
      <c r="F495" s="51">
        <f t="shared" si="30"/>
        <v>44622</v>
      </c>
      <c r="H495" s="101"/>
    </row>
    <row r="496" spans="1:8" x14ac:dyDescent="0.3">
      <c r="A496" s="15" t="s">
        <v>216</v>
      </c>
      <c r="B496" s="33">
        <v>2383</v>
      </c>
      <c r="C496" s="33">
        <v>2271</v>
      </c>
      <c r="D496" s="33">
        <v>2248</v>
      </c>
      <c r="E496" s="33">
        <v>3583</v>
      </c>
      <c r="F496" s="51">
        <f t="shared" si="30"/>
        <v>10485</v>
      </c>
      <c r="H496" s="101"/>
    </row>
    <row r="497" spans="1:16" x14ac:dyDescent="0.3">
      <c r="A497" s="15" t="s">
        <v>209</v>
      </c>
      <c r="B497" s="33">
        <v>10488</v>
      </c>
      <c r="C497" s="33">
        <v>11046</v>
      </c>
      <c r="D497" s="33">
        <v>12694</v>
      </c>
      <c r="E497" s="33">
        <v>13691</v>
      </c>
      <c r="F497" s="51">
        <f t="shared" si="30"/>
        <v>47919</v>
      </c>
      <c r="H497" s="101"/>
    </row>
    <row r="498" spans="1:16" x14ac:dyDescent="0.3">
      <c r="A498" s="18" t="s">
        <v>65</v>
      </c>
      <c r="B498" s="20">
        <f>SUM(B492:B497)</f>
        <v>50719</v>
      </c>
      <c r="C498" s="20">
        <f>SUM(C492:C497)</f>
        <v>52449</v>
      </c>
      <c r="D498" s="20">
        <f>SUM(D492:D497)</f>
        <v>65287</v>
      </c>
      <c r="E498" s="20">
        <f>SUM(E492:E497)</f>
        <v>83177</v>
      </c>
      <c r="F498" s="20">
        <f>SUM(F492:F497)</f>
        <v>251632</v>
      </c>
      <c r="H498" s="101"/>
    </row>
    <row r="499" spans="1:16" x14ac:dyDescent="0.3">
      <c r="D499" s="52"/>
    </row>
    <row r="500" spans="1:16" x14ac:dyDescent="0.3">
      <c r="A500" s="12" t="s">
        <v>219</v>
      </c>
      <c r="B500" s="13" t="s">
        <v>139</v>
      </c>
      <c r="C500" s="13" t="s">
        <v>140</v>
      </c>
      <c r="D500" s="13" t="s">
        <v>141</v>
      </c>
      <c r="E500" s="13" t="s">
        <v>142</v>
      </c>
      <c r="F500" s="30" t="s">
        <v>143</v>
      </c>
    </row>
    <row r="501" spans="1:16" x14ac:dyDescent="0.3">
      <c r="A501" s="15" t="s">
        <v>189</v>
      </c>
      <c r="B501" s="51">
        <f t="shared" ref="B501:F507" si="31">B483+B492</f>
        <v>10667</v>
      </c>
      <c r="C501" s="51">
        <f t="shared" si="31"/>
        <v>14996</v>
      </c>
      <c r="D501" s="51">
        <f t="shared" si="31"/>
        <v>12593</v>
      </c>
      <c r="E501" s="51">
        <f t="shared" si="31"/>
        <v>21766</v>
      </c>
      <c r="F501" s="51">
        <f t="shared" si="31"/>
        <v>60022</v>
      </c>
    </row>
    <row r="502" spans="1:16" x14ac:dyDescent="0.3">
      <c r="A502" s="15" t="s">
        <v>190</v>
      </c>
      <c r="B502" s="51">
        <f t="shared" si="31"/>
        <v>13918</v>
      </c>
      <c r="C502" s="51">
        <f t="shared" si="31"/>
        <v>12106</v>
      </c>
      <c r="D502" s="51">
        <f t="shared" si="31"/>
        <v>16738</v>
      </c>
      <c r="E502" s="51">
        <f t="shared" si="31"/>
        <v>15241</v>
      </c>
      <c r="F502" s="51">
        <f t="shared" si="31"/>
        <v>58003</v>
      </c>
    </row>
    <row r="503" spans="1:16" x14ac:dyDescent="0.3">
      <c r="A503" s="15" t="s">
        <v>191</v>
      </c>
      <c r="B503" s="51">
        <f t="shared" si="31"/>
        <v>13813</v>
      </c>
      <c r="C503" s="51">
        <f t="shared" si="31"/>
        <v>12458</v>
      </c>
      <c r="D503" s="51">
        <f t="shared" si="31"/>
        <v>18695</v>
      </c>
      <c r="E503" s="51">
        <f t="shared" si="31"/>
        <v>23454</v>
      </c>
      <c r="F503" s="51">
        <f t="shared" si="31"/>
        <v>68420</v>
      </c>
    </row>
    <row r="504" spans="1:16" x14ac:dyDescent="0.3">
      <c r="A504" s="15" t="s">
        <v>214</v>
      </c>
      <c r="B504" s="51">
        <f t="shared" si="31"/>
        <v>10196</v>
      </c>
      <c r="C504" s="51">
        <f t="shared" si="31"/>
        <v>11040</v>
      </c>
      <c r="D504" s="51">
        <f t="shared" si="31"/>
        <v>12797</v>
      </c>
      <c r="E504" s="51">
        <f t="shared" si="31"/>
        <v>17999</v>
      </c>
      <c r="F504" s="51">
        <f t="shared" si="31"/>
        <v>52032</v>
      </c>
    </row>
    <row r="505" spans="1:16" x14ac:dyDescent="0.3">
      <c r="A505" s="15" t="s">
        <v>216</v>
      </c>
      <c r="B505" s="51">
        <f t="shared" si="31"/>
        <v>3139</v>
      </c>
      <c r="C505" s="51">
        <f t="shared" si="31"/>
        <v>2994</v>
      </c>
      <c r="D505" s="51">
        <f t="shared" si="31"/>
        <v>3171</v>
      </c>
      <c r="E505" s="51">
        <f t="shared" si="31"/>
        <v>4699</v>
      </c>
      <c r="F505" s="51">
        <f t="shared" si="31"/>
        <v>14003</v>
      </c>
    </row>
    <row r="506" spans="1:16" x14ac:dyDescent="0.3">
      <c r="A506" s="15" t="s">
        <v>209</v>
      </c>
      <c r="B506" s="51">
        <f t="shared" si="31"/>
        <v>11543</v>
      </c>
      <c r="C506" s="51">
        <f t="shared" si="31"/>
        <v>12088</v>
      </c>
      <c r="D506" s="51">
        <f t="shared" si="31"/>
        <v>14299</v>
      </c>
      <c r="E506" s="51">
        <f t="shared" si="31"/>
        <v>15449</v>
      </c>
      <c r="F506" s="51">
        <f t="shared" si="31"/>
        <v>53379</v>
      </c>
    </row>
    <row r="507" spans="1:16" x14ac:dyDescent="0.3">
      <c r="A507" s="18" t="s">
        <v>196</v>
      </c>
      <c r="B507" s="20">
        <f t="shared" si="31"/>
        <v>63276</v>
      </c>
      <c r="C507" s="20">
        <f t="shared" si="31"/>
        <v>65682</v>
      </c>
      <c r="D507" s="20">
        <f t="shared" si="31"/>
        <v>78293</v>
      </c>
      <c r="E507" s="20">
        <f t="shared" si="31"/>
        <v>98608</v>
      </c>
      <c r="F507" s="20">
        <f t="shared" si="31"/>
        <v>305859</v>
      </c>
      <c r="H507" s="101"/>
    </row>
    <row r="508" spans="1:16" x14ac:dyDescent="0.3">
      <c r="D508" s="52"/>
    </row>
    <row r="509" spans="1:16" s="46" customFormat="1" ht="5.25" customHeight="1" x14ac:dyDescent="0.3">
      <c r="A509" s="88"/>
      <c r="B509" s="88"/>
      <c r="C509" s="91"/>
      <c r="D509" s="28"/>
      <c r="E509" s="28"/>
      <c r="F509" s="28"/>
      <c r="H509" s="28"/>
      <c r="I509" s="28"/>
      <c r="J509" s="28"/>
      <c r="K509" s="28"/>
      <c r="L509" s="28"/>
      <c r="M509" s="28"/>
      <c r="N509" s="28"/>
      <c r="O509" s="28"/>
      <c r="P509" s="28"/>
    </row>
    <row r="510" spans="1:16" x14ac:dyDescent="0.3">
      <c r="A510" s="89"/>
      <c r="D510" s="52"/>
    </row>
    <row r="511" spans="1:16" x14ac:dyDescent="0.3">
      <c r="A511" s="89"/>
      <c r="D511" s="52"/>
    </row>
    <row r="512" spans="1:16" x14ac:dyDescent="0.3">
      <c r="A512" s="11" t="s">
        <v>144</v>
      </c>
      <c r="D512" s="52"/>
    </row>
    <row r="513" spans="1:6" x14ac:dyDescent="0.3">
      <c r="A513" s="29"/>
      <c r="D513" s="52"/>
    </row>
    <row r="514" spans="1:6" x14ac:dyDescent="0.3">
      <c r="A514" s="12" t="s">
        <v>169</v>
      </c>
      <c r="B514" s="13" t="s">
        <v>145</v>
      </c>
      <c r="C514" s="13" t="s">
        <v>146</v>
      </c>
      <c r="D514" s="13" t="s">
        <v>147</v>
      </c>
      <c r="E514" s="13" t="s">
        <v>148</v>
      </c>
      <c r="F514" s="30" t="s">
        <v>149</v>
      </c>
    </row>
    <row r="515" spans="1:6" x14ac:dyDescent="0.3">
      <c r="A515" s="15" t="s">
        <v>189</v>
      </c>
      <c r="B515" s="33">
        <v>4174</v>
      </c>
      <c r="C515" s="33">
        <v>4624</v>
      </c>
      <c r="D515" s="33">
        <v>3220</v>
      </c>
      <c r="E515" s="33">
        <v>3991</v>
      </c>
      <c r="F515" s="51">
        <f t="shared" ref="F515:F520" si="32">SUM(B515:E515)</f>
        <v>16009</v>
      </c>
    </row>
    <row r="516" spans="1:6" x14ac:dyDescent="0.3">
      <c r="A516" s="15" t="s">
        <v>190</v>
      </c>
      <c r="B516" s="33">
        <v>3724</v>
      </c>
      <c r="C516" s="33">
        <v>4117</v>
      </c>
      <c r="D516" s="33">
        <v>3731</v>
      </c>
      <c r="E516" s="33">
        <v>2667</v>
      </c>
      <c r="F516" s="51">
        <f t="shared" si="32"/>
        <v>14239</v>
      </c>
    </row>
    <row r="517" spans="1:6" x14ac:dyDescent="0.3">
      <c r="A517" s="15" t="s">
        <v>191</v>
      </c>
      <c r="B517" s="33">
        <v>3335</v>
      </c>
      <c r="C517" s="33">
        <v>2725</v>
      </c>
      <c r="D517" s="33">
        <v>2443</v>
      </c>
      <c r="E517" s="33">
        <v>2476</v>
      </c>
      <c r="F517" s="51">
        <f t="shared" si="32"/>
        <v>10979</v>
      </c>
    </row>
    <row r="518" spans="1:6" x14ac:dyDescent="0.3">
      <c r="A518" s="15" t="s">
        <v>214</v>
      </c>
      <c r="B518" s="33">
        <v>930</v>
      </c>
      <c r="C518" s="33">
        <v>634</v>
      </c>
      <c r="D518" s="33">
        <v>500</v>
      </c>
      <c r="E518" s="33">
        <v>820</v>
      </c>
      <c r="F518" s="51">
        <f t="shared" si="32"/>
        <v>2884</v>
      </c>
    </row>
    <row r="519" spans="1:6" x14ac:dyDescent="0.3">
      <c r="A519" s="15" t="s">
        <v>216</v>
      </c>
      <c r="B519" s="33">
        <v>682</v>
      </c>
      <c r="C519" s="33">
        <v>731</v>
      </c>
      <c r="D519" s="33">
        <v>700</v>
      </c>
      <c r="E519" s="33">
        <v>663</v>
      </c>
      <c r="F519" s="51">
        <f t="shared" si="32"/>
        <v>2776</v>
      </c>
    </row>
    <row r="520" spans="1:6" x14ac:dyDescent="0.3">
      <c r="A520" s="15" t="s">
        <v>209</v>
      </c>
      <c r="B520" s="33">
        <v>1049</v>
      </c>
      <c r="C520" s="33">
        <v>1287</v>
      </c>
      <c r="D520" s="33">
        <v>1330</v>
      </c>
      <c r="E520" s="33">
        <v>1265</v>
      </c>
      <c r="F520" s="51">
        <f t="shared" si="32"/>
        <v>4931</v>
      </c>
    </row>
    <row r="521" spans="1:6" x14ac:dyDescent="0.3">
      <c r="A521" s="18" t="s">
        <v>41</v>
      </c>
      <c r="B521" s="20">
        <f>SUM(B515:B520)</f>
        <v>13894</v>
      </c>
      <c r="C521" s="20">
        <f>SUM(C515:C520)</f>
        <v>14118</v>
      </c>
      <c r="D521" s="20">
        <f>SUM(D515:D520)</f>
        <v>11924</v>
      </c>
      <c r="E521" s="20">
        <f>SUM(E515:E520)</f>
        <v>11882</v>
      </c>
      <c r="F521" s="20">
        <f>SUM(F515:F520)</f>
        <v>51818</v>
      </c>
    </row>
    <row r="522" spans="1:6" x14ac:dyDescent="0.3">
      <c r="D522" s="52"/>
    </row>
    <row r="523" spans="1:6" x14ac:dyDescent="0.3">
      <c r="A523" s="12" t="s">
        <v>172</v>
      </c>
      <c r="B523" s="13" t="s">
        <v>145</v>
      </c>
      <c r="C523" s="13" t="s">
        <v>146</v>
      </c>
      <c r="D523" s="13" t="s">
        <v>147</v>
      </c>
      <c r="E523" s="13" t="s">
        <v>148</v>
      </c>
      <c r="F523" s="30" t="s">
        <v>149</v>
      </c>
    </row>
    <row r="524" spans="1:6" x14ac:dyDescent="0.3">
      <c r="A524" s="15" t="s">
        <v>189</v>
      </c>
      <c r="B524" s="33">
        <v>9054</v>
      </c>
      <c r="C524" s="33">
        <v>10182</v>
      </c>
      <c r="D524" s="33">
        <v>7695</v>
      </c>
      <c r="E524" s="33">
        <v>15194</v>
      </c>
      <c r="F524" s="51">
        <f t="shared" ref="F524:F529" si="33">SUM(B524:E524)</f>
        <v>42125</v>
      </c>
    </row>
    <row r="525" spans="1:6" x14ac:dyDescent="0.3">
      <c r="A525" s="15" t="s">
        <v>190</v>
      </c>
      <c r="B525" s="33">
        <v>8912</v>
      </c>
      <c r="C525" s="33">
        <v>7951</v>
      </c>
      <c r="D525" s="33">
        <v>10228</v>
      </c>
      <c r="E525" s="33">
        <v>8950</v>
      </c>
      <c r="F525" s="51">
        <f t="shared" si="33"/>
        <v>36041</v>
      </c>
    </row>
    <row r="526" spans="1:6" x14ac:dyDescent="0.3">
      <c r="A526" s="15" t="s">
        <v>191</v>
      </c>
      <c r="B526" s="33">
        <v>11526</v>
      </c>
      <c r="C526" s="33">
        <v>9108</v>
      </c>
      <c r="D526" s="33">
        <v>10410</v>
      </c>
      <c r="E526" s="33">
        <v>11688</v>
      </c>
      <c r="F526" s="51">
        <f t="shared" si="33"/>
        <v>42732</v>
      </c>
    </row>
    <row r="527" spans="1:6" x14ac:dyDescent="0.3">
      <c r="A527" s="15" t="s">
        <v>214</v>
      </c>
      <c r="B527" s="33">
        <v>5787</v>
      </c>
      <c r="C527" s="33">
        <v>5167</v>
      </c>
      <c r="D527" s="33">
        <v>7310</v>
      </c>
      <c r="E527" s="33">
        <v>7745</v>
      </c>
      <c r="F527" s="51">
        <f t="shared" si="33"/>
        <v>26009</v>
      </c>
    </row>
    <row r="528" spans="1:6" x14ac:dyDescent="0.3">
      <c r="A528" s="15" t="s">
        <v>216</v>
      </c>
      <c r="B528" s="33">
        <v>1865</v>
      </c>
      <c r="C528" s="33">
        <v>1610</v>
      </c>
      <c r="D528" s="33">
        <v>1678</v>
      </c>
      <c r="E528" s="33">
        <v>2135</v>
      </c>
      <c r="F528" s="51">
        <f t="shared" si="33"/>
        <v>7288</v>
      </c>
    </row>
    <row r="529" spans="1:16" x14ac:dyDescent="0.3">
      <c r="A529" s="15" t="s">
        <v>209</v>
      </c>
      <c r="B529" s="33">
        <v>8050</v>
      </c>
      <c r="C529" s="33">
        <v>8284</v>
      </c>
      <c r="D529" s="33">
        <v>9123</v>
      </c>
      <c r="E529" s="33">
        <v>9435</v>
      </c>
      <c r="F529" s="51">
        <f t="shared" si="33"/>
        <v>34892</v>
      </c>
    </row>
    <row r="530" spans="1:16" x14ac:dyDescent="0.3">
      <c r="A530" s="18" t="s">
        <v>65</v>
      </c>
      <c r="B530" s="20">
        <f>SUM(B524:B529)</f>
        <v>45194</v>
      </c>
      <c r="C530" s="20">
        <f>SUM(C524:C529)</f>
        <v>42302</v>
      </c>
      <c r="D530" s="20">
        <f>SUM(D524:D529)</f>
        <v>46444</v>
      </c>
      <c r="E530" s="20">
        <f>SUM(E524:E529)</f>
        <v>55147</v>
      </c>
      <c r="F530" s="20">
        <f>SUM(F524:F529)</f>
        <v>189087</v>
      </c>
    </row>
    <row r="531" spans="1:16" x14ac:dyDescent="0.3">
      <c r="D531" s="52"/>
    </row>
    <row r="532" spans="1:16" x14ac:dyDescent="0.3">
      <c r="D532" s="52"/>
    </row>
    <row r="533" spans="1:16" x14ac:dyDescent="0.3">
      <c r="A533" s="12" t="s">
        <v>219</v>
      </c>
      <c r="B533" s="13" t="s">
        <v>145</v>
      </c>
      <c r="C533" s="13" t="s">
        <v>146</v>
      </c>
      <c r="D533" s="13" t="s">
        <v>147</v>
      </c>
      <c r="E533" s="13" t="s">
        <v>148</v>
      </c>
      <c r="F533" s="30" t="s">
        <v>149</v>
      </c>
    </row>
    <row r="534" spans="1:16" x14ac:dyDescent="0.3">
      <c r="A534" s="15" t="s">
        <v>189</v>
      </c>
      <c r="B534" s="51">
        <f t="shared" ref="B534:F540" si="34">B524+B515</f>
        <v>13228</v>
      </c>
      <c r="C534" s="51">
        <f t="shared" si="34"/>
        <v>14806</v>
      </c>
      <c r="D534" s="51">
        <f t="shared" si="34"/>
        <v>10915</v>
      </c>
      <c r="E534" s="51">
        <f t="shared" si="34"/>
        <v>19185</v>
      </c>
      <c r="F534" s="51">
        <f t="shared" si="34"/>
        <v>58134</v>
      </c>
    </row>
    <row r="535" spans="1:16" x14ac:dyDescent="0.3">
      <c r="A535" s="15" t="s">
        <v>190</v>
      </c>
      <c r="B535" s="51">
        <f t="shared" si="34"/>
        <v>12636</v>
      </c>
      <c r="C535" s="51">
        <f t="shared" si="34"/>
        <v>12068</v>
      </c>
      <c r="D535" s="51">
        <f t="shared" si="34"/>
        <v>13959</v>
      </c>
      <c r="E535" s="51">
        <f t="shared" si="34"/>
        <v>11617</v>
      </c>
      <c r="F535" s="51">
        <f t="shared" si="34"/>
        <v>50280</v>
      </c>
    </row>
    <row r="536" spans="1:16" x14ac:dyDescent="0.3">
      <c r="A536" s="15" t="s">
        <v>191</v>
      </c>
      <c r="B536" s="51">
        <f t="shared" si="34"/>
        <v>14861</v>
      </c>
      <c r="C536" s="51">
        <f t="shared" si="34"/>
        <v>11833</v>
      </c>
      <c r="D536" s="51">
        <f t="shared" si="34"/>
        <v>12853</v>
      </c>
      <c r="E536" s="51">
        <f t="shared" si="34"/>
        <v>14164</v>
      </c>
      <c r="F536" s="51">
        <f t="shared" si="34"/>
        <v>53711</v>
      </c>
    </row>
    <row r="537" spans="1:16" x14ac:dyDescent="0.3">
      <c r="A537" s="15" t="s">
        <v>214</v>
      </c>
      <c r="B537" s="51">
        <f t="shared" si="34"/>
        <v>6717</v>
      </c>
      <c r="C537" s="51">
        <f t="shared" si="34"/>
        <v>5801</v>
      </c>
      <c r="D537" s="51">
        <f t="shared" si="34"/>
        <v>7810</v>
      </c>
      <c r="E537" s="51">
        <f t="shared" si="34"/>
        <v>8565</v>
      </c>
      <c r="F537" s="51">
        <f t="shared" si="34"/>
        <v>28893</v>
      </c>
    </row>
    <row r="538" spans="1:16" x14ac:dyDescent="0.3">
      <c r="A538" s="15" t="s">
        <v>216</v>
      </c>
      <c r="B538" s="51">
        <f t="shared" si="34"/>
        <v>2547</v>
      </c>
      <c r="C538" s="51">
        <f t="shared" si="34"/>
        <v>2341</v>
      </c>
      <c r="D538" s="51">
        <f t="shared" si="34"/>
        <v>2378</v>
      </c>
      <c r="E538" s="51">
        <f t="shared" si="34"/>
        <v>2798</v>
      </c>
      <c r="F538" s="51">
        <f t="shared" si="34"/>
        <v>10064</v>
      </c>
    </row>
    <row r="539" spans="1:16" x14ac:dyDescent="0.3">
      <c r="A539" s="15" t="s">
        <v>209</v>
      </c>
      <c r="B539" s="51">
        <f t="shared" si="34"/>
        <v>9099</v>
      </c>
      <c r="C539" s="51">
        <f t="shared" si="34"/>
        <v>9571</v>
      </c>
      <c r="D539" s="51">
        <f t="shared" si="34"/>
        <v>10453</v>
      </c>
      <c r="E539" s="51">
        <f t="shared" si="34"/>
        <v>10700</v>
      </c>
      <c r="F539" s="51">
        <f t="shared" si="34"/>
        <v>39823</v>
      </c>
    </row>
    <row r="540" spans="1:16" x14ac:dyDescent="0.3">
      <c r="A540" s="18" t="s">
        <v>170</v>
      </c>
      <c r="B540" s="70">
        <f t="shared" si="34"/>
        <v>59088</v>
      </c>
      <c r="C540" s="70">
        <f t="shared" si="34"/>
        <v>56420</v>
      </c>
      <c r="D540" s="70">
        <f t="shared" si="34"/>
        <v>58368</v>
      </c>
      <c r="E540" s="70">
        <f t="shared" si="34"/>
        <v>67029</v>
      </c>
      <c r="F540" s="70">
        <f t="shared" si="34"/>
        <v>240905</v>
      </c>
    </row>
    <row r="541" spans="1:16" x14ac:dyDescent="0.3">
      <c r="A541" s="78"/>
      <c r="D541" s="52"/>
    </row>
    <row r="542" spans="1:16" s="46" customFormat="1" ht="5.25" customHeight="1" x14ac:dyDescent="0.3">
      <c r="A542" s="88"/>
      <c r="B542" s="88"/>
      <c r="C542" s="91"/>
      <c r="D542" s="28"/>
      <c r="E542" s="28"/>
      <c r="F542" s="28"/>
      <c r="H542" s="28"/>
      <c r="I542" s="28"/>
      <c r="J542" s="28"/>
      <c r="K542" s="28"/>
      <c r="L542" s="28"/>
      <c r="M542" s="28"/>
      <c r="N542" s="28"/>
      <c r="O542" s="28"/>
      <c r="P542" s="28"/>
    </row>
    <row r="543" spans="1:16" x14ac:dyDescent="0.3">
      <c r="D543" s="52"/>
    </row>
    <row r="544" spans="1:16" x14ac:dyDescent="0.3">
      <c r="D544" s="52"/>
    </row>
    <row r="545" spans="1:6" x14ac:dyDescent="0.3">
      <c r="A545" s="11" t="s">
        <v>152</v>
      </c>
      <c r="D545" s="52"/>
    </row>
    <row r="546" spans="1:6" x14ac:dyDescent="0.3">
      <c r="A546" s="29"/>
      <c r="D546" s="52"/>
    </row>
    <row r="547" spans="1:6" x14ac:dyDescent="0.3">
      <c r="A547" s="12" t="s">
        <v>169</v>
      </c>
      <c r="B547" s="13" t="s">
        <v>153</v>
      </c>
      <c r="C547" s="13" t="s">
        <v>154</v>
      </c>
      <c r="D547" s="13" t="s">
        <v>155</v>
      </c>
      <c r="E547" s="13" t="s">
        <v>156</v>
      </c>
      <c r="F547" s="30" t="s">
        <v>157</v>
      </c>
    </row>
    <row r="548" spans="1:6" x14ac:dyDescent="0.3">
      <c r="A548" s="15" t="s">
        <v>189</v>
      </c>
      <c r="B548" s="33">
        <v>4507</v>
      </c>
      <c r="C548" s="33">
        <v>4773</v>
      </c>
      <c r="D548" s="33">
        <v>4313</v>
      </c>
      <c r="E548" s="33">
        <v>4378</v>
      </c>
      <c r="F548" s="51">
        <f t="shared" ref="F548:F553" si="35">SUM(B548:E548)</f>
        <v>17971</v>
      </c>
    </row>
    <row r="549" spans="1:6" x14ac:dyDescent="0.3">
      <c r="A549" s="15" t="s">
        <v>190</v>
      </c>
      <c r="B549" s="33">
        <v>3662</v>
      </c>
      <c r="C549" s="33">
        <v>2760</v>
      </c>
      <c r="D549" s="33">
        <v>3456</v>
      </c>
      <c r="E549" s="33">
        <v>2523</v>
      </c>
      <c r="F549" s="51">
        <f t="shared" si="35"/>
        <v>12401</v>
      </c>
    </row>
    <row r="550" spans="1:6" x14ac:dyDescent="0.3">
      <c r="A550" s="15" t="s">
        <v>191</v>
      </c>
      <c r="B550" s="33">
        <v>3557</v>
      </c>
      <c r="C550" s="33">
        <v>2327</v>
      </c>
      <c r="D550" s="33">
        <v>3102</v>
      </c>
      <c r="E550" s="33">
        <v>2512</v>
      </c>
      <c r="F550" s="51">
        <f t="shared" si="35"/>
        <v>11498</v>
      </c>
    </row>
    <row r="551" spans="1:6" x14ac:dyDescent="0.3">
      <c r="A551" s="15" t="s">
        <v>214</v>
      </c>
      <c r="B551" s="33">
        <v>403</v>
      </c>
      <c r="C551" s="33">
        <v>508</v>
      </c>
      <c r="D551" s="33">
        <v>540</v>
      </c>
      <c r="E551" s="33">
        <v>591</v>
      </c>
      <c r="F551" s="51">
        <f t="shared" si="35"/>
        <v>2042</v>
      </c>
    </row>
    <row r="552" spans="1:6" x14ac:dyDescent="0.3">
      <c r="A552" s="15" t="s">
        <v>216</v>
      </c>
      <c r="B552" s="33">
        <v>664</v>
      </c>
      <c r="C552" s="33">
        <v>547</v>
      </c>
      <c r="D552" s="33">
        <v>696</v>
      </c>
      <c r="E552" s="33">
        <v>571</v>
      </c>
      <c r="F552" s="51">
        <f t="shared" si="35"/>
        <v>2478</v>
      </c>
    </row>
    <row r="553" spans="1:6" x14ac:dyDescent="0.3">
      <c r="A553" s="15" t="s">
        <v>209</v>
      </c>
      <c r="B553" s="33">
        <v>1281</v>
      </c>
      <c r="C553" s="33">
        <v>1160</v>
      </c>
      <c r="D553" s="33">
        <v>1256</v>
      </c>
      <c r="E553" s="33">
        <v>933</v>
      </c>
      <c r="F553" s="51">
        <f t="shared" si="35"/>
        <v>4630</v>
      </c>
    </row>
    <row r="554" spans="1:6" x14ac:dyDescent="0.3">
      <c r="A554" s="18" t="s">
        <v>41</v>
      </c>
      <c r="B554" s="20">
        <f>SUM(B548:B553)</f>
        <v>14074</v>
      </c>
      <c r="C554" s="20">
        <f>SUM(C548:C553)</f>
        <v>12075</v>
      </c>
      <c r="D554" s="20">
        <f>SUM(D548:D553)</f>
        <v>13363</v>
      </c>
      <c r="E554" s="20">
        <f>SUM(E548:E553)</f>
        <v>11508</v>
      </c>
      <c r="F554" s="20">
        <f>SUM(F548:F553)</f>
        <v>51020</v>
      </c>
    </row>
    <row r="555" spans="1:6" x14ac:dyDescent="0.3">
      <c r="D555" s="52"/>
    </row>
    <row r="556" spans="1:6" x14ac:dyDescent="0.3">
      <c r="A556" s="12" t="s">
        <v>172</v>
      </c>
      <c r="B556" s="13" t="s">
        <v>153</v>
      </c>
      <c r="C556" s="13" t="s">
        <v>154</v>
      </c>
      <c r="D556" s="13" t="s">
        <v>155</v>
      </c>
      <c r="E556" s="13" t="s">
        <v>156</v>
      </c>
      <c r="F556" s="30" t="s">
        <v>157</v>
      </c>
    </row>
    <row r="557" spans="1:6" x14ac:dyDescent="0.3">
      <c r="A557" s="15" t="s">
        <v>189</v>
      </c>
      <c r="B557" s="33">
        <v>6204</v>
      </c>
      <c r="C557" s="33">
        <v>9600</v>
      </c>
      <c r="D557" s="33">
        <v>8285</v>
      </c>
      <c r="E557" s="33">
        <v>14996</v>
      </c>
      <c r="F557" s="51">
        <f t="shared" ref="F557:F562" si="36">SUM(B557:E557)</f>
        <v>39085</v>
      </c>
    </row>
    <row r="558" spans="1:6" x14ac:dyDescent="0.3">
      <c r="A558" s="15" t="s">
        <v>190</v>
      </c>
      <c r="B558" s="33">
        <v>6640</v>
      </c>
      <c r="C558" s="33">
        <v>6775</v>
      </c>
      <c r="D558" s="33">
        <v>8584</v>
      </c>
      <c r="E558" s="33">
        <v>7320</v>
      </c>
      <c r="F558" s="51">
        <f t="shared" si="36"/>
        <v>29319</v>
      </c>
    </row>
    <row r="559" spans="1:6" x14ac:dyDescent="0.3">
      <c r="A559" s="15" t="s">
        <v>191</v>
      </c>
      <c r="B559" s="33">
        <v>9076</v>
      </c>
      <c r="C559" s="33">
        <v>8061</v>
      </c>
      <c r="D559" s="33">
        <v>11549</v>
      </c>
      <c r="E559" s="33">
        <v>10400</v>
      </c>
      <c r="F559" s="51">
        <f t="shared" si="36"/>
        <v>39086</v>
      </c>
    </row>
    <row r="560" spans="1:6" x14ac:dyDescent="0.3">
      <c r="A560" s="15" t="s">
        <v>214</v>
      </c>
      <c r="B560" s="33">
        <v>2896</v>
      </c>
      <c r="C560" s="33">
        <v>2861</v>
      </c>
      <c r="D560" s="33">
        <v>4010</v>
      </c>
      <c r="E560" s="33">
        <v>5195</v>
      </c>
      <c r="F560" s="51">
        <f t="shared" si="36"/>
        <v>14962</v>
      </c>
    </row>
    <row r="561" spans="1:16" x14ac:dyDescent="0.3">
      <c r="A561" s="15" t="s">
        <v>216</v>
      </c>
      <c r="B561" s="33">
        <v>1459</v>
      </c>
      <c r="C561" s="33">
        <v>1347</v>
      </c>
      <c r="D561" s="33">
        <v>1693</v>
      </c>
      <c r="E561" s="33">
        <v>1593</v>
      </c>
      <c r="F561" s="51">
        <f t="shared" si="36"/>
        <v>6092</v>
      </c>
    </row>
    <row r="562" spans="1:16" x14ac:dyDescent="0.3">
      <c r="A562" s="15" t="s">
        <v>209</v>
      </c>
      <c r="B562" s="33">
        <v>6797</v>
      </c>
      <c r="C562" s="33">
        <v>6074</v>
      </c>
      <c r="D562" s="33">
        <v>7811</v>
      </c>
      <c r="E562" s="33">
        <v>7951</v>
      </c>
      <c r="F562" s="51">
        <f t="shared" si="36"/>
        <v>28633</v>
      </c>
    </row>
    <row r="563" spans="1:16" x14ac:dyDescent="0.3">
      <c r="A563" s="18" t="s">
        <v>65</v>
      </c>
      <c r="B563" s="20">
        <f>SUM(B557:B562)</f>
        <v>33072</v>
      </c>
      <c r="C563" s="20">
        <f>SUM(C557:C562)</f>
        <v>34718</v>
      </c>
      <c r="D563" s="20">
        <f>SUM(D557:D562)</f>
        <v>41932</v>
      </c>
      <c r="E563" s="20">
        <f>SUM(E557:E562)</f>
        <v>47455</v>
      </c>
      <c r="F563" s="20">
        <f>SUM(F557:F562)</f>
        <v>157177</v>
      </c>
    </row>
    <row r="564" spans="1:16" x14ac:dyDescent="0.3">
      <c r="D564" s="52"/>
    </row>
    <row r="565" spans="1:16" x14ac:dyDescent="0.3">
      <c r="A565" s="12" t="s">
        <v>219</v>
      </c>
      <c r="B565" s="13" t="s">
        <v>153</v>
      </c>
      <c r="C565" s="13" t="s">
        <v>154</v>
      </c>
      <c r="D565" s="13" t="s">
        <v>155</v>
      </c>
      <c r="E565" s="13" t="s">
        <v>156</v>
      </c>
      <c r="F565" s="30" t="s">
        <v>157</v>
      </c>
    </row>
    <row r="566" spans="1:16" x14ac:dyDescent="0.3">
      <c r="A566" s="15" t="s">
        <v>189</v>
      </c>
      <c r="B566" s="51">
        <f t="shared" ref="B566:F572" si="37">B557+B548</f>
        <v>10711</v>
      </c>
      <c r="C566" s="51">
        <f t="shared" si="37"/>
        <v>14373</v>
      </c>
      <c r="D566" s="51">
        <f t="shared" si="37"/>
        <v>12598</v>
      </c>
      <c r="E566" s="51">
        <f t="shared" si="37"/>
        <v>19374</v>
      </c>
      <c r="F566" s="51">
        <f t="shared" si="37"/>
        <v>57056</v>
      </c>
    </row>
    <row r="567" spans="1:16" x14ac:dyDescent="0.3">
      <c r="A567" s="15" t="s">
        <v>190</v>
      </c>
      <c r="B567" s="51">
        <f t="shared" si="37"/>
        <v>10302</v>
      </c>
      <c r="C567" s="51">
        <f t="shared" si="37"/>
        <v>9535</v>
      </c>
      <c r="D567" s="51">
        <f t="shared" si="37"/>
        <v>12040</v>
      </c>
      <c r="E567" s="51">
        <f t="shared" si="37"/>
        <v>9843</v>
      </c>
      <c r="F567" s="51">
        <f t="shared" si="37"/>
        <v>41720</v>
      </c>
    </row>
    <row r="568" spans="1:16" x14ac:dyDescent="0.3">
      <c r="A568" s="15" t="s">
        <v>191</v>
      </c>
      <c r="B568" s="51">
        <f t="shared" si="37"/>
        <v>12633</v>
      </c>
      <c r="C568" s="51">
        <f t="shared" si="37"/>
        <v>10388</v>
      </c>
      <c r="D568" s="51">
        <f t="shared" si="37"/>
        <v>14651</v>
      </c>
      <c r="E568" s="51">
        <f t="shared" si="37"/>
        <v>12912</v>
      </c>
      <c r="F568" s="51">
        <f t="shared" si="37"/>
        <v>50584</v>
      </c>
    </row>
    <row r="569" spans="1:16" x14ac:dyDescent="0.3">
      <c r="A569" s="15" t="s">
        <v>214</v>
      </c>
      <c r="B569" s="51">
        <f t="shared" si="37"/>
        <v>3299</v>
      </c>
      <c r="C569" s="51">
        <f t="shared" si="37"/>
        <v>3369</v>
      </c>
      <c r="D569" s="51">
        <f t="shared" si="37"/>
        <v>4550</v>
      </c>
      <c r="E569" s="51">
        <f t="shared" si="37"/>
        <v>5786</v>
      </c>
      <c r="F569" s="51">
        <f t="shared" si="37"/>
        <v>17004</v>
      </c>
    </row>
    <row r="570" spans="1:16" x14ac:dyDescent="0.3">
      <c r="A570" s="15" t="s">
        <v>216</v>
      </c>
      <c r="B570" s="51">
        <f t="shared" si="37"/>
        <v>2123</v>
      </c>
      <c r="C570" s="51">
        <f t="shared" si="37"/>
        <v>1894</v>
      </c>
      <c r="D570" s="51">
        <f t="shared" si="37"/>
        <v>2389</v>
      </c>
      <c r="E570" s="51">
        <f t="shared" si="37"/>
        <v>2164</v>
      </c>
      <c r="F570" s="51">
        <f t="shared" si="37"/>
        <v>8570</v>
      </c>
    </row>
    <row r="571" spans="1:16" x14ac:dyDescent="0.3">
      <c r="A571" s="15" t="s">
        <v>209</v>
      </c>
      <c r="B571" s="51">
        <f t="shared" si="37"/>
        <v>8078</v>
      </c>
      <c r="C571" s="51">
        <f t="shared" si="37"/>
        <v>7234</v>
      </c>
      <c r="D571" s="51">
        <f t="shared" si="37"/>
        <v>9067</v>
      </c>
      <c r="E571" s="51">
        <f t="shared" si="37"/>
        <v>8884</v>
      </c>
      <c r="F571" s="51">
        <f t="shared" si="37"/>
        <v>33263</v>
      </c>
    </row>
    <row r="572" spans="1:16" x14ac:dyDescent="0.3">
      <c r="A572" s="18" t="s">
        <v>196</v>
      </c>
      <c r="B572" s="102">
        <f t="shared" si="37"/>
        <v>47146</v>
      </c>
      <c r="C572" s="102">
        <f t="shared" si="37"/>
        <v>46793</v>
      </c>
      <c r="D572" s="102">
        <f t="shared" si="37"/>
        <v>55295</v>
      </c>
      <c r="E572" s="102">
        <f t="shared" si="37"/>
        <v>58963</v>
      </c>
      <c r="F572" s="102">
        <f t="shared" si="37"/>
        <v>208197</v>
      </c>
    </row>
    <row r="573" spans="1:16" x14ac:dyDescent="0.3">
      <c r="D573" s="52"/>
    </row>
    <row r="574" spans="1:16" s="46" customFormat="1" ht="5.25" customHeight="1" x14ac:dyDescent="0.3">
      <c r="A574" s="88"/>
      <c r="B574" s="88"/>
      <c r="C574" s="91"/>
      <c r="D574" s="28"/>
      <c r="E574" s="28"/>
      <c r="F574" s="28"/>
      <c r="H574" s="28"/>
      <c r="I574" s="28"/>
      <c r="J574" s="28"/>
      <c r="K574" s="28"/>
      <c r="L574" s="28"/>
      <c r="M574" s="28"/>
      <c r="N574" s="28"/>
      <c r="O574" s="28"/>
      <c r="P574" s="28"/>
    </row>
    <row r="575" spans="1:16" x14ac:dyDescent="0.3">
      <c r="D575" s="52"/>
    </row>
    <row r="576" spans="1:16" x14ac:dyDescent="0.3">
      <c r="D576" s="52"/>
    </row>
    <row r="577" spans="1:6" x14ac:dyDescent="0.3">
      <c r="A577" s="11" t="s">
        <v>158</v>
      </c>
      <c r="D577" s="52"/>
    </row>
    <row r="578" spans="1:6" x14ac:dyDescent="0.3">
      <c r="A578" s="29"/>
      <c r="D578" s="52"/>
    </row>
    <row r="579" spans="1:6" x14ac:dyDescent="0.3">
      <c r="A579" s="12" t="s">
        <v>169</v>
      </c>
      <c r="B579" s="13" t="s">
        <v>159</v>
      </c>
      <c r="C579" s="13" t="s">
        <v>160</v>
      </c>
      <c r="D579" s="13" t="s">
        <v>161</v>
      </c>
      <c r="E579" s="13" t="s">
        <v>162</v>
      </c>
      <c r="F579" s="30" t="s">
        <v>163</v>
      </c>
    </row>
    <row r="580" spans="1:6" x14ac:dyDescent="0.3">
      <c r="A580" s="15" t="s">
        <v>189</v>
      </c>
      <c r="B580" s="33">
        <v>1866</v>
      </c>
      <c r="C580" s="33">
        <v>5643</v>
      </c>
      <c r="D580" s="33">
        <v>3274</v>
      </c>
      <c r="E580" s="33">
        <v>4567</v>
      </c>
      <c r="F580" s="51">
        <f t="shared" ref="F580:F585" si="38">SUM(B580:E580)</f>
        <v>15350</v>
      </c>
    </row>
    <row r="581" spans="1:6" x14ac:dyDescent="0.3">
      <c r="A581" s="15" t="s">
        <v>190</v>
      </c>
      <c r="B581" s="33">
        <v>1461</v>
      </c>
      <c r="C581" s="33">
        <v>3961</v>
      </c>
      <c r="D581" s="33">
        <v>2873</v>
      </c>
      <c r="E581" s="33">
        <v>2881</v>
      </c>
      <c r="F581" s="51">
        <f t="shared" si="38"/>
        <v>11176</v>
      </c>
    </row>
    <row r="582" spans="1:6" x14ac:dyDescent="0.3">
      <c r="A582" s="15" t="s">
        <v>191</v>
      </c>
      <c r="B582" s="33">
        <v>2146</v>
      </c>
      <c r="C582" s="33">
        <v>4565</v>
      </c>
      <c r="D582" s="33">
        <v>3499</v>
      </c>
      <c r="E582" s="33">
        <v>2688</v>
      </c>
      <c r="F582" s="51">
        <f t="shared" si="38"/>
        <v>12898</v>
      </c>
    </row>
    <row r="583" spans="1:6" x14ac:dyDescent="0.3">
      <c r="A583" s="15" t="s">
        <v>214</v>
      </c>
      <c r="B583" s="33">
        <v>132</v>
      </c>
      <c r="C583" s="33">
        <v>477</v>
      </c>
      <c r="D583" s="33">
        <v>324</v>
      </c>
      <c r="E583" s="33">
        <v>352</v>
      </c>
      <c r="F583" s="51">
        <f t="shared" si="38"/>
        <v>1285</v>
      </c>
    </row>
    <row r="584" spans="1:6" x14ac:dyDescent="0.3">
      <c r="A584" s="15" t="s">
        <v>216</v>
      </c>
      <c r="B584" s="33">
        <v>450</v>
      </c>
      <c r="C584" s="33">
        <v>1192</v>
      </c>
      <c r="D584" s="33">
        <v>839</v>
      </c>
      <c r="E584" s="33">
        <v>446</v>
      </c>
      <c r="F584" s="51">
        <f t="shared" si="38"/>
        <v>2927</v>
      </c>
    </row>
    <row r="585" spans="1:6" x14ac:dyDescent="0.3">
      <c r="A585" s="15" t="s">
        <v>209</v>
      </c>
      <c r="B585" s="33">
        <v>738</v>
      </c>
      <c r="C585" s="33">
        <v>1615</v>
      </c>
      <c r="D585" s="33">
        <v>1480</v>
      </c>
      <c r="E585" s="33">
        <v>1409</v>
      </c>
      <c r="F585" s="51">
        <f t="shared" si="38"/>
        <v>5242</v>
      </c>
    </row>
    <row r="586" spans="1:6" x14ac:dyDescent="0.3">
      <c r="A586" s="18" t="s">
        <v>41</v>
      </c>
      <c r="B586" s="20">
        <f>SUM(B580:B585)</f>
        <v>6793</v>
      </c>
      <c r="C586" s="20">
        <f>SUM(C580:C585)</f>
        <v>17453</v>
      </c>
      <c r="D586" s="20">
        <f>SUM(D580:D585)</f>
        <v>12289</v>
      </c>
      <c r="E586" s="20">
        <f>SUM(E580:E585)</f>
        <v>12343</v>
      </c>
      <c r="F586" s="20">
        <f>SUM(F580:F585)</f>
        <v>48878</v>
      </c>
    </row>
    <row r="587" spans="1:6" x14ac:dyDescent="0.3">
      <c r="D587" s="52"/>
    </row>
    <row r="588" spans="1:6" x14ac:dyDescent="0.3">
      <c r="A588" s="12" t="s">
        <v>172</v>
      </c>
      <c r="B588" s="13" t="s">
        <v>159</v>
      </c>
      <c r="C588" s="13" t="s">
        <v>160</v>
      </c>
      <c r="D588" s="13" t="s">
        <v>161</v>
      </c>
      <c r="E588" s="13" t="s">
        <v>162</v>
      </c>
      <c r="F588" s="30" t="s">
        <v>163</v>
      </c>
    </row>
    <row r="589" spans="1:6" x14ac:dyDescent="0.3">
      <c r="A589" s="15" t="s">
        <v>189</v>
      </c>
      <c r="B589" s="33">
        <v>3273</v>
      </c>
      <c r="C589" s="33">
        <v>8259</v>
      </c>
      <c r="D589" s="33">
        <v>4282</v>
      </c>
      <c r="E589" s="33">
        <v>9383</v>
      </c>
      <c r="F589" s="51">
        <f t="shared" ref="F589:F594" si="39">SUM(B589:E589)</f>
        <v>25197</v>
      </c>
    </row>
    <row r="590" spans="1:6" x14ac:dyDescent="0.3">
      <c r="A590" s="15" t="s">
        <v>190</v>
      </c>
      <c r="B590" s="33">
        <v>2410</v>
      </c>
      <c r="C590" s="33">
        <v>7235</v>
      </c>
      <c r="D590" s="33">
        <v>7050</v>
      </c>
      <c r="E590" s="33">
        <v>6313</v>
      </c>
      <c r="F590" s="51">
        <f t="shared" si="39"/>
        <v>23008</v>
      </c>
    </row>
    <row r="591" spans="1:6" x14ac:dyDescent="0.3">
      <c r="A591" s="15" t="s">
        <v>191</v>
      </c>
      <c r="B591" s="33">
        <v>5140</v>
      </c>
      <c r="C591" s="33">
        <v>9096</v>
      </c>
      <c r="D591" s="33">
        <v>10329</v>
      </c>
      <c r="E591" s="33">
        <v>8475</v>
      </c>
      <c r="F591" s="51">
        <f t="shared" si="39"/>
        <v>33040</v>
      </c>
    </row>
    <row r="592" spans="1:6" x14ac:dyDescent="0.3">
      <c r="A592" s="15" t="s">
        <v>214</v>
      </c>
      <c r="B592" s="33">
        <v>1066</v>
      </c>
      <c r="C592" s="33">
        <v>3414</v>
      </c>
      <c r="D592" s="33">
        <v>1276</v>
      </c>
      <c r="E592" s="33">
        <v>1780</v>
      </c>
      <c r="F592" s="51">
        <f t="shared" si="39"/>
        <v>7536</v>
      </c>
    </row>
    <row r="593" spans="1:16" x14ac:dyDescent="0.3">
      <c r="A593" s="15" t="s">
        <v>216</v>
      </c>
      <c r="B593" s="33">
        <v>835</v>
      </c>
      <c r="C593" s="33">
        <v>1710</v>
      </c>
      <c r="D593" s="33">
        <v>1621</v>
      </c>
      <c r="E593" s="33">
        <v>1270</v>
      </c>
      <c r="F593" s="51">
        <f t="shared" si="39"/>
        <v>5436</v>
      </c>
    </row>
    <row r="594" spans="1:16" x14ac:dyDescent="0.3">
      <c r="A594" s="15" t="s">
        <v>209</v>
      </c>
      <c r="B594" s="33">
        <v>4126</v>
      </c>
      <c r="C594" s="33">
        <v>11918</v>
      </c>
      <c r="D594" s="33">
        <v>10855</v>
      </c>
      <c r="E594" s="33">
        <v>7428</v>
      </c>
      <c r="F594" s="51">
        <f t="shared" si="39"/>
        <v>34327</v>
      </c>
    </row>
    <row r="595" spans="1:16" x14ac:dyDescent="0.3">
      <c r="A595" s="18" t="s">
        <v>65</v>
      </c>
      <c r="B595" s="20">
        <f>SUM(B589:B594)</f>
        <v>16850</v>
      </c>
      <c r="C595" s="20">
        <f>SUM(C589:C594)</f>
        <v>41632</v>
      </c>
      <c r="D595" s="20">
        <f>SUM(D589:D594)</f>
        <v>35413</v>
      </c>
      <c r="E595" s="20">
        <f>SUM(E589:E594)</f>
        <v>34649</v>
      </c>
      <c r="F595" s="20">
        <f>SUM(F589:F594)</f>
        <v>128544</v>
      </c>
    </row>
    <row r="596" spans="1:16" x14ac:dyDescent="0.3">
      <c r="D596" s="52"/>
    </row>
    <row r="597" spans="1:16" x14ac:dyDescent="0.3">
      <c r="A597" s="12" t="s">
        <v>219</v>
      </c>
      <c r="B597" s="13" t="s">
        <v>159</v>
      </c>
      <c r="C597" s="13" t="s">
        <v>160</v>
      </c>
      <c r="D597" s="13" t="s">
        <v>161</v>
      </c>
      <c r="E597" s="13" t="s">
        <v>162</v>
      </c>
      <c r="F597" s="30" t="s">
        <v>163</v>
      </c>
    </row>
    <row r="598" spans="1:16" x14ac:dyDescent="0.3">
      <c r="A598" s="15" t="s">
        <v>189</v>
      </c>
      <c r="B598" s="51">
        <v>5139</v>
      </c>
      <c r="C598" s="51">
        <v>13902</v>
      </c>
      <c r="D598" s="51">
        <v>7556</v>
      </c>
      <c r="E598" s="51">
        <v>13950</v>
      </c>
      <c r="F598" s="51">
        <f t="shared" ref="F598:F603" si="40">SUM(B598:E598)</f>
        <v>40547</v>
      </c>
    </row>
    <row r="599" spans="1:16" x14ac:dyDescent="0.3">
      <c r="A599" s="15" t="s">
        <v>190</v>
      </c>
      <c r="B599" s="51">
        <v>3871</v>
      </c>
      <c r="C599" s="51">
        <v>11196</v>
      </c>
      <c r="D599" s="51">
        <v>9923</v>
      </c>
      <c r="E599" s="51">
        <v>9194</v>
      </c>
      <c r="F599" s="51">
        <f t="shared" si="40"/>
        <v>34184</v>
      </c>
    </row>
    <row r="600" spans="1:16" x14ac:dyDescent="0.3">
      <c r="A600" s="15" t="s">
        <v>191</v>
      </c>
      <c r="B600" s="51">
        <v>7286</v>
      </c>
      <c r="C600" s="51">
        <v>13661</v>
      </c>
      <c r="D600" s="51">
        <v>13828</v>
      </c>
      <c r="E600" s="51">
        <v>11163</v>
      </c>
      <c r="F600" s="51">
        <f t="shared" si="40"/>
        <v>45938</v>
      </c>
    </row>
    <row r="601" spans="1:16" x14ac:dyDescent="0.3">
      <c r="A601" s="15" t="s">
        <v>214</v>
      </c>
      <c r="B601" s="51">
        <v>1198</v>
      </c>
      <c r="C601" s="51">
        <v>3891</v>
      </c>
      <c r="D601" s="51">
        <v>1600</v>
      </c>
      <c r="E601" s="51">
        <v>2132</v>
      </c>
      <c r="F601" s="51">
        <f t="shared" si="40"/>
        <v>8821</v>
      </c>
    </row>
    <row r="602" spans="1:16" x14ac:dyDescent="0.3">
      <c r="A602" s="15" t="s">
        <v>216</v>
      </c>
      <c r="B602" s="51">
        <v>1285</v>
      </c>
      <c r="C602" s="51">
        <v>2902</v>
      </c>
      <c r="D602" s="51">
        <v>2460</v>
      </c>
      <c r="E602" s="51">
        <v>1716</v>
      </c>
      <c r="F602" s="51">
        <f t="shared" si="40"/>
        <v>8363</v>
      </c>
    </row>
    <row r="603" spans="1:16" x14ac:dyDescent="0.3">
      <c r="A603" s="15" t="s">
        <v>209</v>
      </c>
      <c r="B603" s="51">
        <v>4864</v>
      </c>
      <c r="C603" s="51">
        <v>13533</v>
      </c>
      <c r="D603" s="51">
        <v>12335</v>
      </c>
      <c r="E603" s="51">
        <v>8837</v>
      </c>
      <c r="F603" s="51">
        <f t="shared" si="40"/>
        <v>39569</v>
      </c>
    </row>
    <row r="604" spans="1:16" x14ac:dyDescent="0.3">
      <c r="A604" s="18" t="s">
        <v>196</v>
      </c>
      <c r="B604" s="20">
        <f>SUM(B598:B603)</f>
        <v>23643</v>
      </c>
      <c r="C604" s="20">
        <f>SUM(C598:C603)</f>
        <v>59085</v>
      </c>
      <c r="D604" s="20">
        <f>SUM(D598:D603)</f>
        <v>47702</v>
      </c>
      <c r="E604" s="20">
        <f>SUM(E598:E603)</f>
        <v>46992</v>
      </c>
      <c r="F604" s="20">
        <f>SUM(F598:F603)</f>
        <v>177422</v>
      </c>
    </row>
    <row r="606" spans="1:16" s="46" customFormat="1" ht="5.25" customHeight="1" x14ac:dyDescent="0.3">
      <c r="A606" s="88"/>
      <c r="B606" s="88"/>
      <c r="C606" s="91"/>
      <c r="D606" s="91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</row>
    <row r="607" spans="1:16" x14ac:dyDescent="0.3">
      <c r="A607" s="57" t="s">
        <v>187</v>
      </c>
    </row>
  </sheetData>
  <pageMargins left="0.28999999999999998" right="0.4" top="0.31" bottom="1.17" header="0.5" footer="0.5"/>
  <pageSetup paperSize="9" scale="27" orientation="landscape" r:id="rId1"/>
  <headerFooter alignWithMargins="0"/>
  <rowBreaks count="2" manualBreakCount="2">
    <brk id="509" max="5" man="1"/>
    <brk id="57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A1EF983625D4FA5FF33E456A2F6FD" ma:contentTypeVersion="18" ma:contentTypeDescription="Create a new document." ma:contentTypeScope="" ma:versionID="990c47c0adfba708e04559094d93cd9d">
  <xsd:schema xmlns:xsd="http://www.w3.org/2001/XMLSchema" xmlns:xs="http://www.w3.org/2001/XMLSchema" xmlns:p="http://schemas.microsoft.com/office/2006/metadata/properties" xmlns:ns2="58e07621-68e3-4698-bf4e-3510e67bb414" xmlns:ns3="db7645b2-39aa-42a8-96fa-ce84201cbf21" xmlns:ns4="05df4186-6a79-4c36-aac8-0c44ed8cdcc7" targetNamespace="http://schemas.microsoft.com/office/2006/metadata/properties" ma:root="true" ma:fieldsID="a2e9a102ca50a9d94690dc3557693ec5" ns2:_="" ns3:_="" ns4:_="">
    <xsd:import namespace="58e07621-68e3-4698-bf4e-3510e67bb414"/>
    <xsd:import namespace="db7645b2-39aa-42a8-96fa-ce84201cbf21"/>
    <xsd:import namespace="05df4186-6a79-4c36-aac8-0c44ed8cd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07621-68e3-4698-bf4e-3510e67b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1a9981d-741d-4dde-8b20-345ed4974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645b2-39aa-42a8-96fa-ce84201c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4186-6a79-4c36-aac8-0c44ed8cdcc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0d033e4-a131-41f3-b00a-70aeeeb9137e}" ma:internalName="TaxCatchAll" ma:showField="CatchAllData" ma:web="db7645b2-39aa-42a8-96fa-ce84201cb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f4186-6a79-4c36-aac8-0c44ed8cdcc7" xsi:nil="true"/>
    <lcf76f155ced4ddcb4097134ff3c332f xmlns="58e07621-68e3-4698-bf4e-3510e67bb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A5E886-67BB-4945-80B0-DD3A1AC633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F63AD7-6043-451D-BD79-BAAB3A845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07621-68e3-4698-bf4e-3510e67bb414"/>
    <ds:schemaRef ds:uri="db7645b2-39aa-42a8-96fa-ce84201cbf21"/>
    <ds:schemaRef ds:uri="05df4186-6a79-4c36-aac8-0c44ed8cdc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03C2E4-45D1-4A06-9865-D150CFF55BB1}">
  <ds:schemaRefs>
    <ds:schemaRef ds:uri="http://schemas.microsoft.com/office/2006/documentManagement/types"/>
    <ds:schemaRef ds:uri="http://purl.org/dc/elements/1.1/"/>
    <ds:schemaRef ds:uri="db7645b2-39aa-42a8-96fa-ce84201cbf21"/>
    <ds:schemaRef ds:uri="http://schemas.microsoft.com/office/2006/metadata/properties"/>
    <ds:schemaRef ds:uri="http://schemas.openxmlformats.org/package/2006/metadata/core-properties"/>
    <ds:schemaRef ds:uri="05df4186-6a79-4c36-aac8-0c44ed8cdcc7"/>
    <ds:schemaRef ds:uri="http://purl.org/dc/dcmitype/"/>
    <ds:schemaRef ds:uri="http://schemas.microsoft.com/office/infopath/2007/PartnerControls"/>
    <ds:schemaRef ds:uri="58e07621-68e3-4698-bf4e-3510e67bb41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JLR Qtr Wholesale Carline - HoB</vt:lpstr>
      <vt:lpstr>JLR Qtr Retails Carline - HoB</vt:lpstr>
      <vt:lpstr>JLR Qtr Wholesales Region - HoB</vt:lpstr>
      <vt:lpstr>JLR Qtr Retails Region - HoB</vt:lpstr>
      <vt:lpstr>'JLR Qtr Retails Carline - HoB'!Print_Area</vt:lpstr>
      <vt:lpstr>'JLR Qtr Retails Region - HoB'!Print_Area</vt:lpstr>
      <vt:lpstr>'JLR Qtr Wholesale Carline - HoB'!Print_Area</vt:lpstr>
      <vt:lpstr>'JLR Qtr Wholesales Region - HoB'!Print_Area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ANUP BANG [ TMPV, Corporate Functions, Mumbai ]</cp:lastModifiedBy>
  <dcterms:created xsi:type="dcterms:W3CDTF">2026-01-08T16:17:23Z</dcterms:created>
  <dcterms:modified xsi:type="dcterms:W3CDTF">2026-01-08T16:17:23Z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0x0101009F8A1EF983625D4FA5FF33E456A2F6FD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